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QUIPO01\Documents\bases de datos\Banco de hojas de vida\"/>
    </mc:Choice>
  </mc:AlternateContent>
  <bookViews>
    <workbookView xWindow="0" yWindow="0" windowWidth="20490" windowHeight="8940" firstSheet="3" activeTab="3"/>
  </bookViews>
  <sheets>
    <sheet name="Instructivo" sheetId="23" r:id="rId1"/>
    <sheet name="Definiciones" sheetId="22" r:id="rId2"/>
    <sheet name="Ambiente de Control" sheetId="24" r:id="rId3"/>
    <sheet name="Conclusiones" sheetId="26" r:id="rId4"/>
    <sheet name="Hoja1" sheetId="28"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3" l="1"/>
  <c r="B24" i="24" l="1"/>
  <c r="B54" i="28"/>
  <c r="B53" i="28"/>
  <c r="B19" i="28"/>
  <c r="K228" i="24"/>
  <c r="L228" i="24" s="1"/>
  <c r="N228" i="24" s="1"/>
  <c r="K220" i="24"/>
  <c r="L220" i="24" s="1"/>
  <c r="N220" i="24" s="1"/>
  <c r="K212" i="24"/>
  <c r="L212" i="24" s="1"/>
  <c r="N212" i="24" s="1"/>
  <c r="K204" i="24"/>
  <c r="L204" i="24" s="1"/>
  <c r="N204" i="24" s="1"/>
  <c r="K196" i="24"/>
  <c r="L196" i="24" s="1"/>
  <c r="N196" i="24" s="1"/>
  <c r="K188" i="24"/>
  <c r="L188" i="24" s="1"/>
  <c r="N188" i="24" s="1"/>
  <c r="K177" i="24"/>
  <c r="L177" i="24" s="1"/>
  <c r="N177" i="24" s="1"/>
  <c r="K169" i="24"/>
  <c r="L169" i="24" s="1"/>
  <c r="N169" i="24" s="1"/>
  <c r="K161" i="24"/>
  <c r="L161" i="24" s="1"/>
  <c r="N161" i="24" s="1"/>
  <c r="K153" i="24"/>
  <c r="L153" i="24" s="1"/>
  <c r="N153" i="24" s="1"/>
  <c r="K145" i="24"/>
  <c r="L145" i="24" s="1"/>
  <c r="N145" i="24" s="1"/>
  <c r="K137" i="24"/>
  <c r="L137" i="24" s="1"/>
  <c r="N137" i="24" s="1"/>
  <c r="K129" i="24"/>
  <c r="L129" i="24" s="1"/>
  <c r="N129" i="24" s="1"/>
  <c r="K118" i="24"/>
  <c r="L118" i="24" s="1"/>
  <c r="N118" i="24" s="1"/>
  <c r="K110" i="24"/>
  <c r="L110" i="24" s="1"/>
  <c r="N110" i="24" s="1"/>
  <c r="K102" i="24"/>
  <c r="L102" i="24" s="1"/>
  <c r="N102" i="24" s="1"/>
  <c r="K91" i="24"/>
  <c r="L91" i="24" s="1"/>
  <c r="N91" i="24" s="1"/>
  <c r="K83" i="24"/>
  <c r="L83" i="24" s="1"/>
  <c r="N83" i="24" s="1"/>
  <c r="K75" i="24"/>
  <c r="L75" i="24" s="1"/>
  <c r="N75" i="24" s="1"/>
  <c r="K64" i="24"/>
  <c r="L64" i="24" s="1"/>
  <c r="N64" i="24" s="1"/>
  <c r="K56" i="24"/>
  <c r="L56" i="24" s="1"/>
  <c r="N56" i="24" s="1"/>
  <c r="K48" i="24"/>
  <c r="L48" i="24" s="1"/>
  <c r="N48" i="24" s="1"/>
  <c r="K40" i="24"/>
  <c r="L40" i="24" s="1"/>
  <c r="N40" i="24" s="1"/>
  <c r="K32" i="24"/>
  <c r="L32" i="24" s="1"/>
  <c r="N32" i="24" s="1"/>
  <c r="K24" i="24"/>
  <c r="B6" i="28" l="1"/>
  <c r="B81" i="28" l="1"/>
  <c r="B82" i="28"/>
  <c r="B169" i="24"/>
  <c r="B56" i="24"/>
  <c r="B32" i="24"/>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M52" i="28" s="1"/>
  <c r="K51" i="28"/>
  <c r="K50" i="28"/>
  <c r="K49" i="28"/>
  <c r="K48" i="28"/>
  <c r="K47" i="28"/>
  <c r="M47" i="28" s="1"/>
  <c r="K46" i="28"/>
  <c r="K45" i="28"/>
  <c r="K44" i="28"/>
  <c r="M44" i="28" s="1"/>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6" i="28" l="1"/>
  <c r="M43" i="28"/>
  <c r="M54" i="28"/>
  <c r="M48" i="28"/>
  <c r="M51" i="28"/>
  <c r="M58" i="28"/>
  <c r="M62" i="28"/>
  <c r="M66" i="28"/>
  <c r="M61" i="28"/>
  <c r="M65"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B228" i="24"/>
  <c r="B220" i="24"/>
  <c r="B212" i="24"/>
  <c r="B204" i="24"/>
  <c r="B196" i="24"/>
  <c r="B188" i="24"/>
  <c r="B177" i="24"/>
  <c r="B161" i="24"/>
  <c r="B153" i="24"/>
  <c r="B145" i="24"/>
  <c r="B137" i="24"/>
  <c r="B129" i="24"/>
  <c r="B118" i="24"/>
  <c r="B110" i="24"/>
  <c r="B102" i="24"/>
  <c r="B91" i="24"/>
  <c r="B83" i="24"/>
  <c r="B75" i="24"/>
  <c r="B64" i="24"/>
  <c r="B48" i="24"/>
  <c r="B40" i="24"/>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O33" i="26" s="1"/>
  <c r="G29" i="26"/>
  <c r="O29" i="26" s="1"/>
  <c r="E29" i="26"/>
  <c r="G27" i="26"/>
  <c r="O27" i="26" s="1"/>
  <c r="E27" i="26"/>
  <c r="G31" i="26"/>
  <c r="O31" i="26" s="1"/>
  <c r="E31" i="26"/>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E25" i="26" l="1"/>
  <c r="G25" i="26"/>
  <c r="M7" i="26" l="1"/>
</calcChain>
</file>

<file path=xl/sharedStrings.xml><?xml version="1.0" encoding="utf-8"?>
<sst xmlns="http://schemas.openxmlformats.org/spreadsheetml/2006/main" count="592" uniqueCount="381">
  <si>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</si>
  <si>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</si>
  <si>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</si>
  <si>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</si>
  <si>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</si>
  <si>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</si>
  <si>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</si>
  <si>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</si>
  <si>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</si>
  <si>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</si>
  <si>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</si>
  <si>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</si>
  <si>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</si>
  <si>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</si>
  <si>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</si>
  <si>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</si>
  <si>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</si>
  <si>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</si>
  <si>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</si>
  <si>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</si>
  <si>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</si>
  <si>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</si>
  <si>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</si>
  <si>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</si>
  <si>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</si>
  <si>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</si>
  <si>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</si>
  <si>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</si>
  <si>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</si>
  <si>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</si>
  <si>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</si>
  <si>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</si>
  <si>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</si>
  <si>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</si>
  <si>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</si>
  <si>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</si>
  <si>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</si>
  <si>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</si>
  <si>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</si>
  <si>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</si>
  <si>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</si>
  <si>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</si>
  <si>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</si>
  <si>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</si>
  <si>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</si>
  <si>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</si>
  <si>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</si>
  <si>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</si>
  <si>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</si>
  <si>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</si>
  <si>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</si>
  <si>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</si>
  <si>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</si>
  <si>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</si>
  <si>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</si>
  <si>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</si>
  <si>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</si>
  <si>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</si>
  <si>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</si>
  <si>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</si>
  <si>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</si>
  <si>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</si>
  <si>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</si>
  <si>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</si>
  <si>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</si>
  <si>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</si>
  <si>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</si>
  <si>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</si>
  <si>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</si>
  <si>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</si>
  <si>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</si>
  <si>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</si>
  <si>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</si>
  <si>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</si>
  <si>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</si>
  <si>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</si>
  <si>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</si>
  <si>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</si>
  <si>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</si>
  <si>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</si>
  <si>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</si>
  <si>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</si>
  <si>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</si>
  <si>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</si>
  <si>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</si>
  <si>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</si>
  <si>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</si>
  <si>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</si>
  <si>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</si>
  <si>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</si>
  <si>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</si>
  <si>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</si>
  <si>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</si>
  <si>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</si>
  <si>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</si>
  <si>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</si>
  <si>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</si>
  <si>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</si>
  <si>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</si>
  <si>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</si>
  <si>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</si>
  <si>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</si>
  <si>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</si>
  <si>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</si>
  <si>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</si>
  <si>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</si>
  <si>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</si>
  <si>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</si>
  <si>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</si>
  <si>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</si>
  <si>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</si>
  <si>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</si>
  <si>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</si>
  <si>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Manuales/Políticas+C21:I31n/Procedimientos/Instructivos u otros desarrollos que den cuente de su aplicación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</si>
  <si>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</si>
  <si>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</si>
  <si>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</si>
  <si>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</si>
  <si>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</si>
  <si>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</si>
  <si>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</si>
  <si>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</si>
  <si>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</si>
  <si>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</si>
  <si>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</si>
  <si>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</si>
  <si>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</si>
  <si>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</si>
  <si>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</si>
  <si>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</si>
  <si>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</si>
  <si>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</si>
  <si>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</si>
  <si>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</si>
  <si>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</si>
  <si>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</si>
  <si>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</si>
  <si>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</si>
  <si>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</si>
  <si>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</si>
  <si>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</si>
  <si>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</si>
  <si>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</si>
  <si>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</si>
  <si>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</si>
  <si>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</si>
  <si>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</si>
  <si>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</si>
  <si>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</si>
  <si>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</si>
  <si>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</si>
  <si>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</si>
  <si>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Dimension de Talento Humano
Politica Gestion Estrategica del Talento Humano
Dimension de Control Interno
Lineas de Defensa</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</si>
  <si>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</si>
  <si>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</si>
  <si>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</si>
  <si>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</si>
  <si>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</si>
  <si>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</si>
  <si>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</si>
  <si>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</si>
  <si>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</si>
  <si>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5.2 La Alta Dirección analiza la información asociada con la generación de reportes financieros.</t>
  </si>
  <si>
    <t xml:space="preserve">
Dimensiòn de Control Interno
Linea de Estrategica</t>
  </si>
  <si>
    <t>5.3 Teniendo en cuenta la información suministrada por la 2a y 3a línea de defensa se toman decisiones a tiempo para garantizar el cumplimiento de las metas y objetivos.</t>
  </si>
  <si>
    <t>Dimensiòn de Control Interno
Lineas de Defensa</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</si>
  <si>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</si>
  <si>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</si>
  <si>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5.5 La entidad aprueba y hace seguimiento al Plan Anual de Auditoría presentado y ejecutado por parte de la Oficina de Control Interno.</t>
  </si>
  <si>
    <t>Dimension Control Interno
Linea Estrategica</t>
  </si>
  <si>
    <t>5.6 La entidad analiza los informes presentados por la Oficina de Control Interno y evalúa su impacto en relación con la mejora institucional.</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</si>
  <si>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</si>
  <si>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</si>
  <si>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</si>
  <si>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</si>
  <si>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</si>
  <si>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</si>
  <si>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</si>
  <si>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</si>
  <si>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</si>
  <si>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</si>
  <si>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</si>
  <si>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</si>
  <si>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</si>
  <si>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</si>
  <si>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</si>
  <si>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</si>
  <si>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</si>
  <si>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</si>
  <si>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</si>
  <si>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</si>
  <si>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</si>
  <si>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</si>
  <si>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</si>
  <si>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</si>
  <si>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</si>
  <si>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</si>
  <si>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</si>
  <si>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</si>
  <si>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</si>
  <si>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</si>
  <si>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</si>
  <si>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</si>
  <si>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</si>
  <si>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</si>
  <si>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</si>
  <si>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</si>
  <si>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</si>
  <si>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</si>
  <si>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</si>
  <si>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</si>
  <si>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</si>
  <si>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</si>
  <si>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</si>
  <si>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</si>
  <si>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</si>
  <si>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</si>
  <si>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</si>
  <si>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</si>
  <si>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</si>
  <si>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</si>
  <si>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</si>
  <si>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</si>
  <si>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</si>
  <si>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</si>
  <si>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</si>
  <si>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</si>
  <si>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</si>
  <si>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</si>
  <si>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</si>
  <si>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</si>
  <si>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</si>
  <si>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</si>
  <si>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</si>
  <si>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</si>
  <si>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</si>
  <si>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</si>
  <si>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</si>
  <si>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</si>
  <si>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</si>
  <si>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</si>
  <si>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</si>
  <si>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</si>
  <si>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</si>
  <si>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</si>
  <si>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</si>
  <si>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</si>
  <si>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</si>
  <si>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</si>
  <si>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</si>
  <si>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</si>
  <si>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</si>
  <si>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</si>
  <si>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</si>
  <si>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</si>
  <si>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</si>
  <si>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</si>
  <si>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</si>
  <si>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</si>
  <si>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</si>
  <si>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</si>
  <si>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</si>
  <si>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</si>
  <si>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</si>
  <si>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</si>
  <si>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</si>
  <si>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</si>
  <si>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</si>
  <si>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</si>
  <si>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</si>
  <si>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</si>
  <si>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</si>
  <si>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</si>
  <si>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</si>
  <si>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</si>
  <si>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</si>
  <si>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</si>
  <si>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</si>
  <si>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</si>
  <si>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</si>
  <si>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</si>
  <si>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</si>
  <si>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</si>
  <si>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</si>
  <si>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</si>
  <si>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</si>
  <si>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</si>
  <si>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</si>
  <si>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</si>
  <si>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</si>
  <si>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</si>
  <si>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</si>
  <si>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</si>
  <si>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</si>
  <si>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</si>
  <si>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</si>
  <si>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</si>
  <si>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</si>
  <si>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</si>
  <si>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</si>
  <si>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</si>
  <si>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</si>
  <si>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</si>
  <si>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</si>
  <si>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si se definen los niveles del riesgo</t>
  </si>
  <si>
    <t xml:space="preserve">/ en la Gobernación del Magdalena se ha realizados campañas se socialización de los 5 códigos de integridad a través de los correos institucionales así mismo se hizo un taller dinámico llamado “FERIA DEL DULCE”, en el cual cada funcionario reconocía los valores y expresaba con cuál de estos se identificaba y definía su concepto como también precisaba en cual debería fortalecerse. 
Si se tiene en cuenta y se realiza la ruta de atención y se le da trazabilidad a toda la información.
</t>
  </si>
  <si>
    <t>En observancia del “Pacto por la Transparencia y la Integridad”, suscrito entre la Gobernación del Departamento del Magdalena y la Vicepresidencia de la Republica de Colombia, este Ente Departamental se comprometió a publicar en la página web del Departamento Administrativo de la Función Pública – DAFP, las declaraciones de bienes y rentas y los conflictos de intereses de los funcionarios obligados de acuerdo a lo establecido en el artículo 2 de la Ley 2013 del 30 de diciembre de 2019, en ese sentido, anualmente mediante una circular interna se socializa con los empleados activos la fecha límite para declarar, el link de acceso y los criterios para cumplir con su deber de declarar lo concerniente a la vigencia inmediatamente anterior.</t>
  </si>
  <si>
    <t>Se tiene en cuenta las competencias genéricas y transversales los desempeños comunes de las diferentes ocupaciones que se relacionan con los aspectos técnicos, los criterios de evaluación que permiten seleccionar los aprendizajes más relevantes ya sea de tipo conceptual, procedimental, o actitudinal.</t>
  </si>
  <si>
    <t>La Oficina de Talento Humano cuenta con el documento Plan Estratégico de Talento Humano, como su hoja de ruta para la ejecución de las políticas de talento Humano de la presente vigencia, el cual es presentado antes del 31 de enero de cada año ante la Oficina Asesora de Planeación para que sea publicado en la Página Web Institucional, dicho documento establece un cronograma de ejecución que contempla la evaluación al cierre de vigencia del Plan de Vacantes, Plan de Previsión de Recursos Humanos, Plan de Cambio Cultural, Plan Anual de Salud y Seguridad en el Trabajo, como documentos integrales del Plan Estratégico de Talento Humano.</t>
  </si>
  <si>
    <t xml:space="preserve"> La Oficina de Talento Humano de la Administración Central Departamental del Magdalena, cuenta con su usuario asignado para la administración de la Plataforma Web EDL-APP, por medio de la cual se gestiona el sistema para la evaluación del desempeño de los empleados inscritos en carrera administrativa de la Planta de Personal (Sector Central, Sector Salud y Sector Educativo). Ahora bien, para el Nivel Directivo cada oficina gestiona Planes de Acción, mientras que los Gerentes Públicos se rigen por los acuerdos de gestión. </t>
  </si>
  <si>
    <t>Se presenta a consideracion del comite de coordinacion de control Interno anualmente el cronograma de las auditorias internas el cual es aprobado y desarrollado por la oficina de Control interno de la entidad, para luego poner a consideracion del representante legal.</t>
  </si>
  <si>
    <t>Los resultados de las Auditorias internas son presentados a la alta direccion, para su conocimiento y futura toma de descisiones.</t>
  </si>
  <si>
    <t>Se encuentra un manual de funciones vigencia 2017, donde se detallan las funciones de los cargos y ademas se cuenta con un manual de procesos y procedimientos vigencia 2019 que establece la manera de realizar las tareas, y sus puntos de control.</t>
  </si>
  <si>
    <t>Existe comité CODFIS, la entidad se encuentra en ley 550, y reunen para presentar los resultados de las ejecuciones</t>
  </si>
  <si>
    <t>Se presentan los avances del plan de desarrollo a traves de la evaluacion de la ejecucion de los planes de accion se realizan correctivos y ajustes y se formulan planes de mejoramiento intitucionales</t>
  </si>
  <si>
    <t>Se realizan consejos de gobierno para la presentacion de los avances puede ser a travez del comité deGestion y desempeño</t>
  </si>
  <si>
    <t>Se presentaan al comité institucional  de coordinacion de control interno</t>
  </si>
  <si>
    <t>La entidad dispone de mecanismos de control del riesgo por procesos, planteados en el mapa de riesgos con este fin. No corresponde específicamente a Comunicaciones, dado que es un riesgo transversal y cada proceso implementa sus controles, los cuales son monitoreados periódicamente. El seguimiento es realizado por la Oficina de Control Interno.</t>
  </si>
  <si>
    <t xml:space="preserve">Seguimiento al cumplimiento de la elaboracion y socializacion del Código de Integridad, con base en el informe presentando por la segunda linea de defensa </t>
  </si>
  <si>
    <t>Existen evidencias de la socializacion y apropiacion de los temas tratados en el codigo de Integridad por parte de los funcionarios de la entidad.</t>
  </si>
  <si>
    <t>Se revisa bajo el seguimiento que se realiza al PAAC, mapa de riesgos</t>
  </si>
  <si>
    <t>No se evidencia la publicacion de la declaracion de conflictos de intereses de los funcionarios de la entidad.</t>
  </si>
  <si>
    <t>Se realiza seguimiento a los mapas de riesgos</t>
  </si>
  <si>
    <t>Se realiza seguimiento a la pagina web y a los mapas de riesgos</t>
  </si>
  <si>
    <t>Se realiza seguimiento al PAAC y a los mapas de resgos cada cuatro meses</t>
  </si>
  <si>
    <t>En el marco de las auditorias internas se realizan los seguimientos a los riesgos de corrupcion</t>
  </si>
  <si>
    <t>Se recepcionan las quejas o irregularidades de los funcionarios a traves de la oficina de control Interno Disciplinario</t>
  </si>
  <si>
    <t>no se evidencia el funcionamiento de una linea interna de denuncias</t>
  </si>
  <si>
    <t>Se revisa el cumplimiento de la implementacion del codigo de integridad</t>
  </si>
  <si>
    <t>El Comité institucional de  Coordinacion de Control Interno se encuentra creado en la entidad, se encuentra en ejercicio e sus funciones ha sesionado este año una (1) vez</t>
  </si>
  <si>
    <t>Realizacion del comité de coordinacion de control interno - presentacion del programa anual de auditorias</t>
  </si>
  <si>
    <t xml:space="preserve">Se convoca minimo dos (2) veces al año </t>
  </si>
  <si>
    <t xml:space="preserve">Las actuaciones que realizamos en su mayoria son aprobadas por la alta direcion y los diferentes comites Institucionales creados para tal fin atendiendo el esquema de la primera linea de defensa, luego son ejecutadas por los lideres de los procesos que enmarcan la segunda linea de defensa y despues estas actuaciones son auditadas por la oficina de control Interno (Tercera Linea de defensa) </t>
  </si>
  <si>
    <t>El Comité de Gestion y Desempeño es la instancia de deliberacion de muchas de las descisiones y de las aciones que se toman en el marco de la implementacion del Modelo Integrado de Planeacion y Gestion</t>
  </si>
  <si>
    <t>realizamos evaluacion Independiente como lider de la tercera linea de Defensa</t>
  </si>
  <si>
    <t>Partimos desde la construcion del Plan de Desarrollo participativamente, desde donde se desprenden los demas planes(Plan de Accion, Presupuesto, POAI, ecte)</t>
  </si>
  <si>
    <t>El Comité de Gestion y Desempeño es la instancia de deliberacion de muchas de las descisiones y de las acciones que se toman en el marco de la implementacion del Modelo Integrado de Planeacion y Gestion.</t>
  </si>
  <si>
    <t>se realiza seguimiento y control de los Planes de Accion en la evaluacion por dependecias</t>
  </si>
  <si>
    <t>La Entidad cuenta con una politica de Administracion del Riesgo desde donde se contruyeron los mapas de riesgo de la entidad</t>
  </si>
  <si>
    <t>Se realizan Auditorias internas basadas en riesgos</t>
  </si>
  <si>
    <t>Sevaluan los riesgos de corrupcion y se tienen en cuenta los riesgos de la entidad para realizar las auditorias</t>
  </si>
  <si>
    <t>En el marco del comité de gestion y desempeño se aprueban los mapas de riesgos</t>
  </si>
  <si>
    <t>En los mapas de riesgos se encuentran la valoracion de los riesgos y los controles establecidos</t>
  </si>
  <si>
    <t xml:space="preserve">Si, se realiza evaluacion estrategica través de las metas de cumplimiento del plan de Desarrollo (Accion) y de las metas del plan de  inversión,  se tienen encuenta las variables externas e internas que afectarian  la Gestion </t>
  </si>
  <si>
    <t>Se realiza evaluacion por dependencias donde se analizan los planes de accion. Se realizan ajustes concertados entre los lideres de los procesos y la oficina de planeacion (Segunda linea de Defensa).</t>
  </si>
  <si>
    <t>La entidad no realiza evaluacion del proceso de ingreso del personal</t>
  </si>
  <si>
    <t>no hay evidencia de evaluacion de este proceso</t>
  </si>
  <si>
    <t>Se realizan las Auditorias internas basadas en riesgos</t>
  </si>
  <si>
    <t>Se realiza evaluacion del desempeño a los funcionarios de carrera administrativa, no se evalua el desempeño de los funcionarios en provisionalidad.</t>
  </si>
  <si>
    <t>Se evidencian en las auditorias internas la segregacion de las funciones estan esblkecidos los responsables de los procesos</t>
  </si>
  <si>
    <t>Se realiza acompañamiento en el proceso de retiro de los fiuncionarios de la entidad</t>
  </si>
  <si>
    <t>Se brinda acompañamiento sicopsocial y legal a los funcionarios  que estan proximos a pensionarse</t>
  </si>
  <si>
    <t xml:space="preserve"> si se evalúan, a través de cuestionarios que se le entregan a los asistentes de las capacitaciones realizadas </t>
  </si>
  <si>
    <t>Se ralizan auditorias internas basadas en riesgos</t>
  </si>
  <si>
    <t>Se lleva registro de los asistentes a las capacitaciones programadas por la entidad</t>
  </si>
  <si>
    <t>Se realizan los informes de supervision de los contratos</t>
  </si>
  <si>
    <t>Auditorias internas basadas en riesgos</t>
  </si>
  <si>
    <t>No se evaluan los productos y servicios que prestan los contrastistas a la entidad</t>
  </si>
  <si>
    <t>Los jefes de los procesos mantienen informado al Gobernador  sobre los temas relevantes de la entidad</t>
  </si>
  <si>
    <t>producto de las auditorias internas se deben elaborar los planes de mejoramiento</t>
  </si>
  <si>
    <t>Se realiza anualmente el informe interno contable</t>
  </si>
  <si>
    <t>Se realiza la evaluacion por dependencia donde se verificacn las metas de los planes de accion</t>
  </si>
  <si>
    <t>Los procedeimientos de la entidad se encuentan actualizados a Diciembre de 2019</t>
  </si>
  <si>
    <t>Seria conveniente hacer revision y  actualizacion de procedimientos periodocamente.</t>
  </si>
  <si>
    <t>Se presenta a consideracion del comité de coordinacion de Control interno, para su aprobacion y luego se presentan los resultados de las auditorias al comité.</t>
  </si>
  <si>
    <t>La oficina de Control Interno como parte del sistema de Control interno ejecuta el plan anual de Auditorias</t>
  </si>
  <si>
    <t xml:space="preserve">Se tienen en cuenta las advertencias y recomendaciones de la oficina de control interno </t>
  </si>
  <si>
    <t xml:space="preserve">La entidad tiene formulado su código de integridad el cual fue socializado a los funcionarios con jornadas y mecanismos de sensibilización, se cuenta con el comité de convivencia laboral donde se analizan las situaciones o quejas que se presentan, se llevan a cabo los procesos disciplinarios internos. La entidad, ha gestionado la obligatoriedad de los funcionarios para el reporte del formato de conflictos de intereses. Solo se accede desde equipo específico, de uso personal, al módulo de actualización de la web. 2. Se cambia periódicamente la contraseña del administrador cada tres meses, la contraseña asignada lleva números, letras y caracteres especiales, se revisan usuarios y perfiles, La Oficina Asesora de Planeación realiza monitoreo al PAAC y  La Oficina de Control Interno realiza seguimiento y control de la actividades y logros obtenidos del plan existe en la entidad una línea de denuncias sobre posibles incumplimientos al código de integridad Existe en la entidad el comité de coordinacion  institucional de Control Interno, el cual se ha reuniudo dos veces , Las responsabilidades son asignadas a través de  las funciones que se encuentran delimitadas por los niveles jerárquicos en la entidad donde encontramos representante legal, alta dirección, gerentes, líderes de procesos ecte. Las líneas de defensas se encuentran claramente identificadas por los funcionarios, la toma de decisiones está a cargo del funcionario responsable de las funciones La Gobernación del Magdalena en virtud del convenio interadministrativo con el Departamento Administrativo de la Función Pública, se revisó la política y se remitieron sugerencias para actualizar dada la nueva versión de la cartilla de Gestión del Riesgos. </t>
  </si>
  <si>
    <t>La entidad tiene cuenta con un plan de Desarrollo Magdalena "Renace 2020- 2023", El cual contempla las metas a largo, mediano y corto plazo, del cual se desprenden los demás planes institucionales entre ellos los planes de Acción que se ejecutan anualmente y son los encargados de dar operatividad a los demás planes, Los procesos,  programas y proyectos, se encuentran documentados contienen indicadores, tiempo de ejecución y responsables y se miden a través de las evaluaciones a los planes de y se miden a través de las evaluaciones a los planes de Acción La Oficina Asesora de Planeación, realiza  monitoreo a las metas contempladas en el plan de Desarrollo a fin de determinar el porcentaje de avances en el tiempo  y evalúa los planes  de Acción, La política de Administración de Riesgos, se encuentra formulada en la entidad, sin embargo dentro del convenio con la función pública, se está revisando a fin de realizar una actualización, Desde la Oficina de Planeación se lidera la construcción de los mapas de Riesgos Institucionales. Con los seguimiento a los mapas de Riesgos se evidencia que no se han materializados, La Oficina Asesora de Planeación, Elabora el mapa cada año y realiza monitoreo periódicos El mapa se actualiza anualmente, Dentro del desarrollo de los procedimientos de la entidad,  se encuentran segregadas las funciones logrando que no se concentren en una sola persona, Dentro del monitoreo que realiza la Oficina de Planeación a los mapas de riesgos se realizan ajustes y se someten a aprobación a través del comité de gestión y desempeño. No  se analiza el impacto en el control interno por cambios en la Estructura Organizacional.</t>
  </si>
  <si>
    <t>Las actividades de control se realizan a través de las Auditorías internas y diferentes seguimientos que se  realizan a las políticas implementadas, las actividades se realizan basadas en procedimientos establecidos,  que contemplan los controles, y responsables En el desarrollo de las Auditorías Internas se evidencian situaciones que son puesta a consideración de la alta dirección y permite realizar ajustes a la gestión La entidad  tiene implementando el modelo integrado de planeación y gestión (MIPG), el cual contiene los atributos de calidad necesarios para armonizar con otros sistemas de gestión y su control interno. Cuenta con un diagnóstico de seguridad y privacidad de la información para la vigencia, construido a través de la herramienta de  autodiagnóstico del Modelo de Seguridad y Privacidad de la Información (MSPI) internas. Existe claridad en la asignación de responsabilidades de los funcionarios, Los riesgos establecidos en los mapas no se han materializado hasta el momento. Si se evalúa la actualización de los procedimientos, desde la Oficina de Control Interno se impulsa esta actividad dado que se detecta al momento de realizar las Auditorías Internas, la obsolescencia, de algunos procedimientos y la puesta en marcha de nueva normatividad. En los seguimientos realizados a los riesgos se ha establecido que los controles son efectivos, en la entidad no se han materializado los riesgos establecidos</t>
  </si>
  <si>
    <t>y mantiene el uso de la información clasificada y relevante .La entidad mantiene canales efectivos de comunicación como circulares, resoluciones, y publicaciones de sus propósitos y metas, Dispone de diferentes mecanismos escritos, virtuales y audiovisuales tales como carteleras, portal web, intranet, redes sociales, campañas internas, sistema de sonido interno, comunicados de prensa, pantallas electrónicas, entre otros. Se cuenta con política de operación  donde se establecen los niveles de autoridad y la responsabilidad de cada uno en los actores. Se tiene habilitado en la web en link de peticiones quejas y reclamos además del correo contáctenos y una línea de denuncias Si la entidad está comprometida con la mejora continua de canales y vías de comunicación más efectiva para sus funcionarios Se cuenta con canales externos de comunicación, redes sociales, portal web, intranet, redes sociales, relación  con medios de comunicación,  que son regulados desde el área de la Secretaria de Comunicaciones, Se cuenta con un mapa de procesos y  procedimientos de todas las áreas,  el cual contempla el manejo de la información interna y externa, se cuenta con un mapa de procesos y  procedimientos de todas las áreas,  el cual contempla el manejo de la información interna y externa. En estos momentos la entidad se encuentra realizando una actualización de la caracterización de los grupos de valor. Se tienen en cuenta la percepción de los usuarios o grupos de valor, como encuestas,  sugerencias, ecte   para la toma de decisiones</t>
  </si>
  <si>
    <t>el sistema de control interno en la gobernacion del magdalena se encuentra funcionando sin embargo se hace necesario que  reactive las actividades de gestion en la implementacion del modelo y acatar  las recomendaciones impartidads por la DAFP, en cada uno de los componentes para asi optimizar  el modelo.</t>
  </si>
  <si>
    <t>La entidad tiene formulado su código de integridad el cual fue socializado a los funcionarios con jornadas y mecanismos de sensibilización, se cuenta con el comité de convivencia laboral donde se analizan las situaciones o quejas que se presentan, se llevan a cabo los procesos disciplinarios internos. La entidad, ha gestionado la obligatoriedad de los funcionarios para el reporte del formato de conflictos de intereses. Solo se accede desde equipo específico, de uso personal, al módulo de actualización de la web. 2. Se cambia periódicamente la contraseña del administrador cada tres meses, la contraseña asignada lleva números, letras y caracteres especiales, se revisan usuarios y perfiles, La Oficina Asesora de Planeación realiza monitoreo al PAAC y  La Oficina de Control Interno realiza seguimiento y control de la actividades y logros obtenidos del plan, existe en la entidad una línea de denuncias sobre posibles incumplimientos al código de integridad Existe en la entidad el comité institucional de Control Interno,  Las responsabilidades son asignadas a través de  las funciones que se encuentran delimitadas por los niveles jerárquicos en la entidad donde encontramos representante legal, alta dirección, gerentes, líderes de procesos ecte. Las líneas de defensas se encuentran claramente identificadas por los funcionarios, la toma de decisiones está a cargo del funcionario responsable de las funciones La Gobernación del Magdalena en virtud del convenio interadministrativo con el Departamento Administrativo de la Función Pública, se revisó la política y se remitieron sugerencias para actualizar dada la nueva versión de la cartilla de Gestión del Riesgos de la DAFP.</t>
  </si>
  <si>
    <t>La entidad cuenta con niveles jerarquicos que tienen establecidos sus funciones, sus  procesos y procedimientos los cuales son ejercidos en la escala jerarquica existente ,  ademas se ejecutan las acciones de acuerdo a las lineas de defensas establecidas por el modelo integral de planeacion y de gestion.</t>
  </si>
  <si>
    <t xml:space="preserve">Los componentes del sisitema de control interno se encuentran operando en el entidad, sin embargo durante el ultimo año (pandemia) se han detenido las acciones de implementacion lo que  da origina un retroceso en los procesos. </t>
  </si>
  <si>
    <t xml:space="preserve">Se presentan al representante legal los informes de las auditorias  de gestion para la toma de decisiones, la oficina de control interno es la encargada de realizar las auditorías internas basadas en riesgos en estos momentos se está actualizando el mapa de riesgos en el marco del convenio con DAFP, El comité de Gestión y Desempeño  realiza monitoreo a las políticas,  se presentan los avances, y se debaten los temas relevante para la gestión de la  entidad, se tienen en cuenta los informes de Auditorias que presentan los entes de Control para realizar las auditorías internas y los planes de mejoramiento, La realización de las Auditoria Internas (Evaluación Independiente) arroja un informe y se den elaborar planes de mejoramiento, Se tienen en cuenta los informes de Auditorias de los entes de Control, para advertir a la entidad incumplimientos y no conformidades para la futura toma de decisiones, se elaboran planes de mejoramiento y se les hace seguimiento por parte de la Oficina de control interno, Se reportan las fallas a la alta dirección, a la Oficina de control Interno y/o control Disciplinario las posibles fallas de la gestión ya sean de carácter operativo o de carácter disciplinario, Se han realizados  monitoreo de las actividades por cumplir  en mapa de riesgos en tiempos establecidos, también se han reprogramado otras que no se han logrado cumplir.
Se tienen los supervisores de los contratos que verifican la idoneidad de los productos y servicios que se contratan, se contemplan los riesgos de la Contratación Se realiza seguimiento semestral a PQRS sobre informe que suministra el área correspondiente de esta información (Secretaria General)La Oficina de Planeación  realiza monitoreo a planes institucionales, no se monitorean los planes de mejoramiento de entes externos 
</t>
  </si>
  <si>
    <t>GOBERNACION DEL MAGDALENA</t>
  </si>
  <si>
    <t>PRIMER SEMESTRE DE 2022</t>
  </si>
  <si>
    <t>Se tienen identificados los riesgos, plasmados en un mapa del cual  se realizan los seguimientos cuatrimestralmente, se realiza monitoreo de estos riesgos desde la oficina de Planeación, en el marco del comité Institucional de Gestión y desempeño, y seguimiento y control de las actividades contempladas en los mapas por parte de las oficinas de control interno.</t>
  </si>
  <si>
    <t>Las actividades de control se realizan  por parte de los funcionarios que realizan los procesos,  las Auditorías internas y diferentes seguimientos que se  realizan a las políticas implementadas, estas actividades se realizan basadas en procedimientos establecidos,  que contienen  los controles, y responsables en el desarrollo de las Auditorías Internas se evidencian situaciones que son puesta a consideración de la alta dirección y permite realizar ajustes a la gestión,  la entidad  tiene implementando el modelo integrado de planeación y gestión (MIPG), el cual contiene los atributos de calidad necesarios para armonizar con otros sistemas de gestión y su control interno. Cuenta con un diagnóstico de seguridad y privacidad de la información para la vigencia, construido a través de la herramienta de  autodiagnóstico del Modelo de Seguridad y Privacidad de la Información (MSPI) internas. Existe claridad en la asignación de responsabilidades de los funcionarios, Los riesgos establecidos en los mapas no se han materializado hasta el momento. Si se evalúa la actualización de los procedimientos, desde la Oficina de Control Interno se impulsa esta actividad dado que se detecta al momento de realizar las Auditorías Internas, la obsolescencia, de algunos procedimientos y la puesta en marcha de nueva normatividad, En los seguimientos realizados a los riesgos se ha establecido que los controles son efectivos, en la entidad no se han materializado los riesgos planteados.</t>
  </si>
  <si>
    <t xml:space="preserve">se tienen en cuenta los informes de Auditorias que presentan los entes de Control para realizar las auditorías internas y los planes de mejoramiento, La realización de las Auditoria Internas (Evaluación Independiente) arroja un informe y se den elaborar planes de mejoramiento, Se tienen en cuenta los informes de Auditorias de los entes de Control, para advertir a la entidad incumplimientos y no conformidades para la futura toma de decisiones, se elaboran planes de mejoramiento y se les hace seguimiento por parte de la Oficina de control interno, Se reportan las fallas a la alta dirección, a la Oficina de control Interno y/o control Disciplinario,de la gestión ya sean de carácter operativo o de carácter disciplinario, Se han realizados  monitoreo de las actividades por cumplir  en mapa de riesgos en tiempos establecidos, también se han reprogramado otras que no se han logrado cumplir.
Se tienen los supervisores de los contratos que verifican la idoneidad de los productos y servicios que se contratan, se contemplan los riesgos de la Contratación Se realiza seguimiento semestral a PQRS sobre informe que suministra el área correspondiente de esta información (Secretaria General)La Oficina de Planeación  realiza monitoreo a planes institucionales, no se monitorean los planes de mejoramiento de entes externos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</si>
</sst>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0.000"/>
    <numFmt numFmtId="166" formatCode="0.0000"/>
  </numFmts>
  <fonts count="49"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sz val="10"/>
      <name val="Arial Narrow"/>
      <family val="2"/>
    </font>
    <font>
      <b/>
      <sz val="14"/>
      <name val="Arial Narrow"/>
      <family val="2"/>
    </font>
    <font>
      <b/>
      <u/>
      <sz val="11"/>
      <name val="Arial Narrow"/>
      <family val="2"/>
    </font>
    <font>
      <b/>
      <sz val="10"/>
      <name val="Arial Narrow"/>
      <family val="2"/>
    </font>
    <font>
      <b/>
      <sz val="11"/>
      <name val="Arial Narrow"/>
      <family val="2"/>
    </font>
    <font>
      <b/>
      <sz val="9"/>
      <name val="Arial Narrow"/>
      <family val="2"/>
    </font>
    <font>
      <b/>
      <i/>
      <u/>
      <sz val="9"/>
      <name val="Arial Narrow"/>
      <family val="2"/>
    </font>
    <font>
      <sz val="9"/>
      <name val="Arial Narrow"/>
      <family val="2"/>
    </font>
    <font>
      <sz val="11"/>
      <name val="Arial Narrow"/>
      <family val="2"/>
    </font>
    <font>
      <sz val="12"/>
      <color theme="1" tint="0.34998626667073579"/>
      <name val="Arial Narrow"/>
      <family val="2"/>
    </font>
    <font>
      <sz val="11"/>
      <color theme="1"/>
      <name val="Arial Narrow"/>
      <family val="2"/>
    </font>
    <font>
      <b/>
      <sz val="11"/>
      <color theme="1"/>
      <name val="Arial Narrow"/>
      <family val="2"/>
    </font>
    <font>
      <b/>
      <sz val="11"/>
      <color theme="0"/>
      <name val="Arial Narrow"/>
      <family val="2"/>
    </font>
    <font>
      <sz val="11"/>
      <color theme="0"/>
      <name val="Arial Narrow"/>
      <family val="2"/>
    </font>
    <font>
      <b/>
      <u/>
      <sz val="11"/>
      <color theme="0"/>
      <name val="Arial Narrow"/>
      <family val="2"/>
    </font>
    <font>
      <i/>
      <sz val="11"/>
      <color theme="0"/>
      <name val="Arial Narrow"/>
      <family val="2"/>
    </font>
    <font>
      <b/>
      <sz val="11"/>
      <color theme="1" tint="0.249977111117893"/>
      <name val="Arial Narrow"/>
      <family val="2"/>
    </font>
    <font>
      <b/>
      <sz val="10"/>
      <color theme="1"/>
      <name val="Arial Narrow"/>
      <family val="2"/>
    </font>
    <font>
      <sz val="10"/>
      <color theme="1"/>
      <name val="Arial Narrow"/>
      <family val="2"/>
    </font>
    <font>
      <sz val="10"/>
      <color rgb="FFFF0000"/>
      <name val="Arial"/>
      <family val="2"/>
    </font>
    <font>
      <sz val="10"/>
      <color rgb="FFFF0000"/>
      <name val="Arial Narrow"/>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12"/>
      <name val="Arial Narrow"/>
      <family val="2"/>
    </font>
    <font>
      <b/>
      <sz val="16"/>
      <name val="Arial Narrow"/>
      <family val="2"/>
    </font>
    <font>
      <b/>
      <sz val="20"/>
      <color theme="0"/>
      <name val="Arial Narrow"/>
      <family val="2"/>
    </font>
    <font>
      <b/>
      <sz val="14"/>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11"/>
      <color rgb="FFFF0000"/>
      <name val="Arial Narrow"/>
      <family val="2"/>
    </font>
    <font>
      <b/>
      <sz val="11"/>
      <color rgb="FFFF0000"/>
      <name val="Arial Narrow"/>
      <family val="2"/>
    </font>
    <font>
      <sz val="25"/>
      <color theme="1"/>
      <name val="Arial"/>
      <family val="2"/>
    </font>
    <font>
      <sz val="12"/>
      <name val="Arial"/>
      <family val="2"/>
    </font>
    <font>
      <sz val="12"/>
      <color theme="1"/>
      <name val="Arial"/>
      <family val="2"/>
    </font>
  </fonts>
  <fills count="1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4" tint="-0.249977111117893"/>
        <bgColor indexed="64"/>
      </patternFill>
    </fill>
    <fill>
      <patternFill patternType="solid">
        <fgColor theme="2" tint="-0.249977111117893"/>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style="thin">
        <color theme="0"/>
      </right>
      <top style="double">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double">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ashed">
        <color indexed="64"/>
      </top>
      <bottom/>
      <diagonal/>
    </border>
    <border>
      <left style="hair">
        <color indexed="64"/>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bottom style="hair">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indexed="64"/>
      </left>
      <right style="hair">
        <color indexed="64"/>
      </right>
      <top style="thin">
        <color indexed="64"/>
      </top>
      <bottom/>
      <diagonal/>
    </border>
    <border>
      <left style="medium">
        <color indexed="64"/>
      </left>
      <right style="hair">
        <color indexed="64"/>
      </right>
      <top style="thin">
        <color indexed="64"/>
      </top>
      <bottom/>
      <diagonal/>
    </border>
  </borders>
  <cellStyleXfs count="5">
    <xf numFmtId="0" fontId="0" fillId="0" borderId="0"/>
    <xf numFmtId="0" fontId="2" fillId="4" borderId="0"/>
    <xf numFmtId="0" fontId="7" fillId="0" borderId="0"/>
    <xf numFmtId="0" fontId="3" fillId="0" borderId="0"/>
    <xf numFmtId="0" fontId="9" fillId="0" borderId="0"/>
  </cellStyleXfs>
  <cellXfs count="337">
    <xf numFmtId="0" fontId="0" fillId="0" borderId="0" xfId="0"/>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left"/>
    </xf>
    <xf numFmtId="0" fontId="10" fillId="0" borderId="0" xfId="3" applyFont="1" applyProtection="1"/>
    <xf numFmtId="0" fontId="10" fillId="0" borderId="29" xfId="3" applyFont="1" applyBorder="1" applyProtection="1"/>
    <xf numFmtId="0" fontId="13" fillId="0" borderId="0" xfId="3" applyFont="1" applyBorder="1" applyAlignment="1" applyProtection="1">
      <alignment horizontal="left" vertical="center" wrapText="1"/>
    </xf>
    <xf numFmtId="0" fontId="10" fillId="0" borderId="0" xfId="3" applyFont="1" applyBorder="1" applyAlignment="1" applyProtection="1">
      <alignment horizontal="left" vertical="center" wrapText="1"/>
    </xf>
    <xf numFmtId="0" fontId="10" fillId="0" borderId="0" xfId="3" quotePrefix="1"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15" fillId="0" borderId="0" xfId="4" applyFont="1" applyFill="1" applyBorder="1" applyAlignment="1" applyProtection="1">
      <alignment horizontal="left" vertical="top" wrapText="1" readingOrder="1"/>
    </xf>
    <xf numFmtId="0" fontId="20" fillId="2" borderId="0" xfId="0" applyFont="1" applyFill="1"/>
    <xf numFmtId="1" fontId="20" fillId="2" borderId="0" xfId="0" applyNumberFormat="1" applyFont="1" applyFill="1" applyBorder="1" applyAlignment="1">
      <alignment horizontal="center" vertical="center"/>
    </xf>
    <xf numFmtId="0" fontId="20" fillId="2" borderId="0" xfId="0" applyFont="1" applyFill="1" applyBorder="1" applyAlignment="1">
      <alignment horizontal="justify" vertical="center" wrapText="1"/>
    </xf>
    <xf numFmtId="0" fontId="20" fillId="2" borderId="0" xfId="0" applyFont="1" applyFill="1" applyBorder="1"/>
    <xf numFmtId="0" fontId="15" fillId="2" borderId="12" xfId="0" applyFont="1" applyFill="1" applyBorder="1" applyAlignment="1" applyProtection="1">
      <alignment vertical="center"/>
    </xf>
    <xf numFmtId="0" fontId="22" fillId="0" borderId="0" xfId="0" applyFont="1" applyFill="1" applyAlignment="1" applyProtection="1">
      <alignment vertical="center" wrapText="1"/>
      <protection locked="0"/>
    </xf>
    <xf numFmtId="0" fontId="20" fillId="0" borderId="0" xfId="0" applyFont="1"/>
    <xf numFmtId="0" fontId="20" fillId="0" borderId="10"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20" fillId="0" borderId="13" xfId="0" applyFont="1" applyFill="1" applyBorder="1" applyAlignment="1">
      <alignment horizontal="left" vertical="center" wrapText="1"/>
    </xf>
    <xf numFmtId="0" fontId="20" fillId="0" borderId="0" xfId="0" applyFont="1" applyAlignment="1">
      <alignment vertical="center"/>
    </xf>
    <xf numFmtId="0" fontId="26" fillId="10" borderId="27" xfId="0" applyFont="1" applyFill="1" applyBorder="1" applyAlignment="1">
      <alignment horizontal="center" vertical="center" wrapText="1"/>
    </xf>
    <xf numFmtId="0" fontId="26" fillId="10" borderId="28" xfId="0" applyFont="1" applyFill="1" applyBorder="1" applyAlignment="1">
      <alignment horizontal="center" vertical="center" wrapText="1"/>
    </xf>
    <xf numFmtId="0" fontId="0" fillId="2" borderId="51" xfId="0" applyFill="1" applyBorder="1"/>
    <xf numFmtId="0" fontId="0" fillId="2" borderId="52" xfId="0" applyFill="1" applyBorder="1"/>
    <xf numFmtId="0" fontId="0" fillId="2" borderId="53" xfId="0" applyFill="1" applyBorder="1"/>
    <xf numFmtId="0" fontId="0" fillId="2" borderId="54" xfId="0" applyFill="1" applyBorder="1"/>
    <xf numFmtId="0" fontId="0" fillId="2" borderId="0" xfId="0" applyFill="1" applyBorder="1"/>
    <xf numFmtId="0" fontId="0" fillId="2" borderId="55" xfId="0" applyFill="1" applyBorder="1"/>
    <xf numFmtId="0" fontId="6" fillId="2" borderId="29" xfId="0" applyFont="1" applyFill="1" applyBorder="1" applyAlignment="1">
      <alignment horizontal="center" vertical="center"/>
    </xf>
    <xf numFmtId="0" fontId="6" fillId="2" borderId="55" xfId="0" applyFont="1" applyFill="1" applyBorder="1" applyAlignment="1">
      <alignment vertical="center"/>
    </xf>
    <xf numFmtId="0" fontId="5" fillId="2" borderId="0" xfId="0" applyFont="1" applyFill="1" applyBorder="1" applyAlignment="1">
      <alignment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4" fillId="2" borderId="0" xfId="0" applyFont="1" applyFill="1" applyBorder="1" applyAlignment="1">
      <alignment vertical="center"/>
    </xf>
    <xf numFmtId="0" fontId="8" fillId="2" borderId="0" xfId="0" applyFont="1" applyFill="1" applyBorder="1"/>
    <xf numFmtId="0" fontId="0" fillId="2" borderId="56" xfId="0" applyFill="1" applyBorder="1"/>
    <xf numFmtId="0" fontId="0" fillId="2" borderId="57" xfId="0" applyFill="1" applyBorder="1"/>
    <xf numFmtId="0" fontId="0" fillId="2" borderId="58" xfId="0" applyFill="1" applyBorder="1"/>
    <xf numFmtId="0" fontId="0" fillId="2" borderId="0" xfId="0" applyFill="1"/>
    <xf numFmtId="0" fontId="1" fillId="2" borderId="0" xfId="0" applyFont="1" applyFill="1" applyAlignment="1">
      <alignment wrapText="1"/>
    </xf>
    <xf numFmtId="0" fontId="17" fillId="2" borderId="12" xfId="0" applyFont="1" applyFill="1" applyBorder="1" applyAlignment="1" applyProtection="1">
      <alignment vertical="center" wrapText="1"/>
    </xf>
    <xf numFmtId="0" fontId="23" fillId="2" borderId="0" xfId="0" applyFont="1" applyFill="1" applyBorder="1"/>
    <xf numFmtId="0" fontId="0" fillId="0" borderId="1" xfId="0" applyBorder="1"/>
    <xf numFmtId="0" fontId="6" fillId="0" borderId="62" xfId="0" applyFont="1" applyFill="1" applyBorder="1" applyAlignment="1">
      <alignment vertical="center"/>
    </xf>
    <xf numFmtId="0" fontId="0" fillId="0" borderId="62" xfId="0" applyBorder="1"/>
    <xf numFmtId="9" fontId="6" fillId="0" borderId="0" xfId="0" applyNumberFormat="1" applyFont="1" applyFill="1" applyBorder="1" applyAlignment="1">
      <alignment vertical="center"/>
    </xf>
    <xf numFmtId="0" fontId="32" fillId="2" borderId="0" xfId="0" applyFont="1" applyFill="1" applyBorder="1" applyAlignment="1">
      <alignment horizontal="center" vertical="center" wrapText="1"/>
    </xf>
    <xf numFmtId="0" fontId="23" fillId="2" borderId="0" xfId="0" applyFont="1" applyFill="1" applyBorder="1" applyAlignment="1">
      <alignment vertical="center"/>
    </xf>
    <xf numFmtId="0" fontId="20" fillId="2" borderId="0" xfId="0" applyFont="1" applyFill="1" applyBorder="1" applyAlignment="1">
      <alignment vertical="center"/>
    </xf>
    <xf numFmtId="0" fontId="32" fillId="2" borderId="0" xfId="0" applyFont="1" applyFill="1" applyBorder="1"/>
    <xf numFmtId="0" fontId="31" fillId="2" borderId="0" xfId="0" applyFont="1" applyFill="1" applyBorder="1" applyAlignment="1">
      <alignment wrapText="1"/>
    </xf>
    <xf numFmtId="49" fontId="0" fillId="2" borderId="0" xfId="0" applyNumberForma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0" fillId="0" borderId="69" xfId="0" applyBorder="1"/>
    <xf numFmtId="0" fontId="0" fillId="0" borderId="87" xfId="0" applyBorder="1"/>
    <xf numFmtId="0" fontId="5" fillId="15" borderId="45" xfId="0" applyFont="1" applyFill="1" applyBorder="1" applyAlignment="1">
      <alignment horizontal="center" vertical="center" wrapText="1"/>
    </xf>
    <xf numFmtId="0" fontId="0" fillId="0" borderId="1" xfId="0" applyBorder="1" applyAlignment="1">
      <alignment horizontal="left"/>
    </xf>
    <xf numFmtId="0" fontId="34" fillId="2" borderId="0" xfId="0" applyFont="1" applyFill="1" applyBorder="1" applyAlignment="1">
      <alignment horizontal="center" vertical="center"/>
    </xf>
    <xf numFmtId="0" fontId="33" fillId="2" borderId="0" xfId="0" applyFont="1" applyFill="1" applyBorder="1" applyAlignment="1">
      <alignment horizontal="center" vertical="center"/>
    </xf>
    <xf numFmtId="0" fontId="10" fillId="0" borderId="0" xfId="3" applyFont="1" applyBorder="1" applyAlignment="1" applyProtection="1">
      <alignment vertical="top" wrapText="1"/>
    </xf>
    <xf numFmtId="0" fontId="10" fillId="0" borderId="97" xfId="3" applyFont="1" applyBorder="1" applyProtection="1"/>
    <xf numFmtId="0" fontId="10" fillId="0" borderId="98" xfId="3" applyFont="1" applyBorder="1" applyProtection="1"/>
    <xf numFmtId="0" fontId="10" fillId="0" borderId="99" xfId="3" applyFont="1" applyBorder="1" applyProtection="1"/>
    <xf numFmtId="0" fontId="10" fillId="0" borderId="100" xfId="3" applyFont="1" applyBorder="1" applyProtection="1"/>
    <xf numFmtId="0" fontId="10" fillId="0" borderId="98" xfId="3" applyFont="1" applyBorder="1" applyAlignment="1" applyProtection="1"/>
    <xf numFmtId="0" fontId="10" fillId="0" borderId="97" xfId="3" applyFont="1" applyBorder="1" applyAlignment="1" applyProtection="1">
      <alignment vertical="top" wrapText="1"/>
    </xf>
    <xf numFmtId="0" fontId="10" fillId="0" borderId="98" xfId="3" applyFont="1" applyBorder="1" applyAlignment="1" applyProtection="1">
      <alignment vertical="top" wrapText="1"/>
    </xf>
    <xf numFmtId="0" fontId="10" fillId="0" borderId="101" xfId="3" applyFont="1" applyBorder="1" applyProtection="1"/>
    <xf numFmtId="0" fontId="10" fillId="0" borderId="102" xfId="3" applyFont="1" applyBorder="1" applyProtection="1"/>
    <xf numFmtId="0" fontId="10" fillId="0" borderId="103" xfId="3" applyFont="1" applyBorder="1" applyProtection="1"/>
    <xf numFmtId="0" fontId="10" fillId="0" borderId="0" xfId="3" applyFont="1" applyBorder="1" applyProtection="1"/>
    <xf numFmtId="0" fontId="22" fillId="3" borderId="0" xfId="0" applyFont="1" applyFill="1" applyBorder="1" applyAlignment="1">
      <alignment horizontal="center" vertical="center" wrapText="1"/>
    </xf>
    <xf numFmtId="2" fontId="23" fillId="2" borderId="0" xfId="0" applyNumberFormat="1" applyFont="1" applyFill="1" applyBorder="1"/>
    <xf numFmtId="0" fontId="18" fillId="0" borderId="13" xfId="0" applyFont="1" applyFill="1" applyBorder="1" applyAlignment="1">
      <alignment horizontal="left" vertical="center" wrapText="1"/>
    </xf>
    <xf numFmtId="0" fontId="21" fillId="0" borderId="8"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36" fillId="14" borderId="1" xfId="2" applyNumberFormat="1" applyFont="1" applyFill="1" applyBorder="1" applyAlignment="1" applyProtection="1">
      <alignment horizontal="center" vertical="center" wrapText="1"/>
      <protection locked="0"/>
    </xf>
    <xf numFmtId="0" fontId="36" fillId="13" borderId="1" xfId="2" applyNumberFormat="1" applyFont="1" applyFill="1" applyBorder="1" applyAlignment="1" applyProtection="1">
      <alignment horizontal="center" vertical="center" wrapText="1"/>
      <protection locked="0"/>
    </xf>
    <xf numFmtId="0" fontId="36" fillId="12" borderId="1" xfId="2" applyNumberFormat="1" applyFont="1" applyFill="1" applyBorder="1" applyAlignment="1" applyProtection="1">
      <alignment horizontal="center" vertical="center" wrapText="1"/>
      <protection locked="0"/>
    </xf>
    <xf numFmtId="0" fontId="36" fillId="11" borderId="1" xfId="2" applyNumberFormat="1" applyFont="1" applyFill="1" applyBorder="1" applyAlignment="1" applyProtection="1">
      <alignment horizontal="center" vertical="center" wrapText="1"/>
      <protection locked="0"/>
    </xf>
    <xf numFmtId="0" fontId="14" fillId="16" borderId="1" xfId="0" applyFont="1" applyFill="1" applyBorder="1" applyAlignment="1">
      <alignment horizontal="center" vertical="center"/>
    </xf>
    <xf numFmtId="0" fontId="18" fillId="16" borderId="1" xfId="0" applyFont="1" applyFill="1" applyBorder="1" applyAlignment="1">
      <alignment horizontal="center" vertical="center"/>
    </xf>
    <xf numFmtId="0" fontId="5" fillId="15" borderId="75" xfId="0" applyFont="1" applyFill="1" applyBorder="1" applyAlignment="1">
      <alignment horizontal="center" vertical="center" wrapText="1"/>
    </xf>
    <xf numFmtId="0" fontId="5" fillId="3" borderId="68" xfId="0" applyFont="1" applyFill="1" applyBorder="1" applyAlignment="1">
      <alignment horizontal="center" vertical="center" wrapText="1"/>
    </xf>
    <xf numFmtId="0" fontId="5" fillId="3" borderId="75"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3" fillId="15" borderId="45" xfId="0" applyFont="1" applyFill="1" applyBorder="1" applyAlignment="1">
      <alignment horizontal="center" vertical="center" wrapText="1"/>
    </xf>
    <xf numFmtId="0" fontId="43" fillId="0" borderId="0" xfId="0" applyFont="1" applyBorder="1" applyAlignment="1">
      <alignment horizontal="center" wrapText="1"/>
    </xf>
    <xf numFmtId="0" fontId="33" fillId="6"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3" fillId="7" borderId="1" xfId="0" applyFont="1" applyFill="1" applyBorder="1" applyAlignment="1">
      <alignment horizontal="center" vertical="center" wrapText="1"/>
    </xf>
    <xf numFmtId="0" fontId="33" fillId="9" borderId="1" xfId="0" applyFont="1" applyFill="1" applyBorder="1" applyAlignment="1">
      <alignment horizontal="center" vertical="center" wrapText="1"/>
    </xf>
    <xf numFmtId="0" fontId="38" fillId="3" borderId="1" xfId="0" applyFont="1" applyFill="1" applyBorder="1" applyAlignment="1">
      <alignment horizontal="center" vertical="center"/>
    </xf>
    <xf numFmtId="2" fontId="44" fillId="2" borderId="0" xfId="0" applyNumberFormat="1" applyFont="1" applyFill="1" applyBorder="1"/>
    <xf numFmtId="0" fontId="20" fillId="2" borderId="0" xfId="0" applyFont="1" applyFill="1" applyProtection="1"/>
    <xf numFmtId="1" fontId="20" fillId="2" borderId="0" xfId="0" applyNumberFormat="1" applyFont="1" applyFill="1" applyBorder="1" applyAlignment="1" applyProtection="1">
      <alignment horizontal="center" vertical="center"/>
    </xf>
    <xf numFmtId="0" fontId="20" fillId="2" borderId="0" xfId="0" applyFont="1" applyFill="1" applyBorder="1" applyProtection="1"/>
    <xf numFmtId="0" fontId="21" fillId="2" borderId="83" xfId="0" applyFont="1" applyFill="1" applyBorder="1" applyAlignment="1" applyProtection="1">
      <alignment horizontal="center" vertical="center"/>
      <protection locked="0"/>
    </xf>
    <xf numFmtId="0" fontId="20" fillId="2" borderId="10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protection locked="0"/>
    </xf>
    <xf numFmtId="0" fontId="20" fillId="2" borderId="82" xfId="0" applyFont="1" applyFill="1" applyBorder="1" applyAlignment="1" applyProtection="1">
      <alignment horizontal="center" vertical="center" wrapText="1"/>
      <protection locked="0"/>
    </xf>
    <xf numFmtId="0" fontId="20" fillId="2" borderId="82" xfId="0" applyFont="1" applyFill="1" applyBorder="1" applyAlignment="1" applyProtection="1">
      <alignment horizontal="center" vertical="center"/>
      <protection locked="0"/>
    </xf>
    <xf numFmtId="0" fontId="21" fillId="2" borderId="86" xfId="0" applyFont="1" applyFill="1" applyBorder="1" applyAlignment="1" applyProtection="1">
      <alignment horizontal="center" vertical="center"/>
      <protection locked="0"/>
    </xf>
    <xf numFmtId="0" fontId="20" fillId="2" borderId="81" xfId="0" applyFont="1" applyFill="1" applyBorder="1" applyAlignment="1" applyProtection="1">
      <alignment horizontal="center" vertical="center"/>
      <protection locked="0"/>
    </xf>
    <xf numFmtId="0" fontId="21" fillId="2" borderId="18" xfId="0" applyFont="1" applyFill="1" applyBorder="1" applyAlignment="1" applyProtection="1">
      <alignment horizontal="center" vertical="center"/>
      <protection locked="0"/>
    </xf>
    <xf numFmtId="0" fontId="21" fillId="2" borderId="17" xfId="0" applyFont="1" applyFill="1" applyBorder="1" applyAlignment="1" applyProtection="1">
      <alignment horizontal="center" vertical="center"/>
      <protection locked="0"/>
    </xf>
    <xf numFmtId="9" fontId="40" fillId="3" borderId="75" xfId="0" applyNumberFormat="1" applyFont="1" applyFill="1" applyBorder="1" applyAlignment="1" applyProtection="1">
      <alignment horizontal="center" vertical="center"/>
      <protection hidden="1"/>
    </xf>
    <xf numFmtId="9" fontId="35" fillId="14" borderId="1" xfId="0" applyNumberFormat="1"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hidden="1"/>
    </xf>
    <xf numFmtId="9" fontId="35" fillId="14" borderId="1" xfId="0" applyNumberFormat="1" applyFont="1" applyFill="1" applyBorder="1" applyAlignment="1" applyProtection="1">
      <alignment horizontal="center" vertical="center"/>
      <protection locked="0"/>
    </xf>
    <xf numFmtId="9" fontId="6" fillId="0" borderId="1" xfId="0" applyNumberFormat="1" applyFont="1" applyFill="1" applyBorder="1" applyAlignment="1" applyProtection="1">
      <alignment horizontal="center" vertical="center"/>
      <protection locked="0"/>
    </xf>
    <xf numFmtId="49" fontId="46" fillId="2" borderId="44" xfId="0" applyNumberFormat="1" applyFont="1" applyFill="1" applyBorder="1" applyAlignment="1" applyProtection="1">
      <alignment horizontal="center" vertical="center" wrapText="1"/>
      <protection locked="0"/>
    </xf>
    <xf numFmtId="0" fontId="14" fillId="0" borderId="0" xfId="2" applyNumberFormat="1" applyFont="1" applyBorder="1" applyAlignment="1" applyProtection="1">
      <alignment vertical="center"/>
      <protection hidden="1"/>
    </xf>
    <xf numFmtId="0" fontId="18" fillId="0" borderId="0" xfId="2" applyFont="1" applyFill="1" applyBorder="1" applyAlignment="1" applyProtection="1">
      <alignment vertical="center" wrapText="1"/>
      <protection hidden="1"/>
    </xf>
    <xf numFmtId="0" fontId="0" fillId="0" borderId="0" xfId="0" applyProtection="1">
      <protection hidden="1"/>
    </xf>
    <xf numFmtId="0" fontId="14" fillId="0" borderId="0" xfId="2" applyNumberFormat="1" applyFont="1" applyBorder="1" applyAlignment="1" applyProtection="1">
      <alignment vertical="center" wrapText="1"/>
      <protection hidden="1"/>
    </xf>
    <xf numFmtId="0" fontId="29" fillId="0" borderId="0" xfId="0" applyFont="1" applyProtection="1">
      <protection hidden="1"/>
    </xf>
    <xf numFmtId="0" fontId="14" fillId="8" borderId="1" xfId="2" applyNumberFormat="1" applyFont="1" applyFill="1" applyBorder="1" applyAlignment="1" applyProtection="1">
      <alignment horizontal="center" vertical="center" wrapText="1"/>
      <protection locked="0"/>
    </xf>
    <xf numFmtId="0" fontId="10" fillId="0" borderId="97" xfId="3" applyFont="1" applyBorder="1" applyAlignment="1" applyProtection="1">
      <alignment horizontal="left" vertical="top"/>
    </xf>
    <xf numFmtId="0" fontId="10" fillId="0" borderId="98" xfId="3" applyFont="1" applyBorder="1" applyAlignment="1" applyProtection="1">
      <alignment horizontal="left" vertical="top"/>
    </xf>
    <xf numFmtId="0" fontId="20" fillId="2" borderId="17" xfId="0" applyFont="1" applyFill="1" applyBorder="1" applyAlignment="1" applyProtection="1">
      <alignment horizontal="center" vertical="center"/>
      <protection locked="0"/>
    </xf>
    <xf numFmtId="0" fontId="20" fillId="2" borderId="12"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14" fillId="16" borderId="1" xfId="0" applyFont="1" applyFill="1" applyBorder="1" applyAlignment="1">
      <alignment horizontal="center" vertical="center" wrapText="1"/>
    </xf>
    <xf numFmtId="0" fontId="20" fillId="2" borderId="0" xfId="0" applyFont="1" applyFill="1" applyBorder="1" applyAlignment="1">
      <alignment horizontal="center"/>
    </xf>
    <xf numFmtId="164" fontId="20" fillId="2" borderId="0" xfId="0" applyNumberFormat="1" applyFont="1" applyFill="1" applyBorder="1" applyAlignment="1">
      <alignment horizontal="center"/>
    </xf>
    <xf numFmtId="0" fontId="22" fillId="3" borderId="2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0" fillId="2" borderId="17" xfId="0" applyFont="1" applyFill="1" applyBorder="1" applyAlignment="1" applyProtection="1">
      <alignment horizontal="center" vertical="center" wrapText="1"/>
      <protection locked="0"/>
    </xf>
    <xf numFmtId="0" fontId="20" fillId="2" borderId="17" xfId="0" applyFont="1" applyFill="1" applyBorder="1" applyAlignment="1" applyProtection="1">
      <alignment horizontal="center" vertical="center" wrapText="1"/>
      <protection locked="0"/>
    </xf>
    <xf numFmtId="0" fontId="47" fillId="0" borderId="87" xfId="0" applyFont="1" applyFill="1" applyBorder="1" applyAlignment="1" applyProtection="1">
      <alignment vertical="center" wrapText="1"/>
      <protection locked="0"/>
    </xf>
    <xf numFmtId="0" fontId="48" fillId="0" borderId="87" xfId="0" applyFont="1" applyBorder="1" applyAlignment="1" applyProtection="1">
      <alignment wrapText="1"/>
      <protection locked="0"/>
    </xf>
    <xf numFmtId="0" fontId="47" fillId="0" borderId="62" xfId="0" applyFont="1" applyFill="1" applyBorder="1" applyAlignment="1" applyProtection="1">
      <alignment horizontal="left" vertical="center" wrapText="1"/>
      <protection locked="0"/>
    </xf>
    <xf numFmtId="0" fontId="48" fillId="0" borderId="87" xfId="0" applyFont="1" applyBorder="1" applyAlignment="1" applyProtection="1">
      <alignment vertical="center" wrapText="1"/>
      <protection locked="0"/>
    </xf>
    <xf numFmtId="0" fontId="48" fillId="0" borderId="88" xfId="0" applyFont="1" applyBorder="1" applyAlignment="1" applyProtection="1">
      <alignment wrapText="1"/>
      <protection locked="0"/>
    </xf>
    <xf numFmtId="0" fontId="10" fillId="0" borderId="97" xfId="3" quotePrefix="1" applyFont="1" applyBorder="1" applyAlignment="1" applyProtection="1">
      <alignment horizontal="left" vertical="top" wrapText="1"/>
    </xf>
    <xf numFmtId="0" fontId="10" fillId="0" borderId="0" xfId="3" quotePrefix="1" applyFont="1" applyBorder="1" applyAlignment="1" applyProtection="1">
      <alignment horizontal="left" vertical="top" wrapText="1"/>
    </xf>
    <xf numFmtId="0" fontId="10" fillId="0" borderId="98" xfId="3" quotePrefix="1" applyFont="1" applyBorder="1" applyAlignment="1" applyProtection="1">
      <alignment horizontal="left" vertical="top" wrapText="1"/>
    </xf>
    <xf numFmtId="0" fontId="15" fillId="10" borderId="93" xfId="3" applyFont="1" applyFill="1" applyBorder="1" applyAlignment="1" applyProtection="1">
      <alignment horizontal="center" vertical="center"/>
    </xf>
    <xf numFmtId="0" fontId="15" fillId="10" borderId="94" xfId="3" applyFont="1" applyFill="1" applyBorder="1" applyAlignment="1" applyProtection="1">
      <alignment horizontal="center" vertical="center"/>
    </xf>
    <xf numFmtId="0" fontId="17" fillId="0" borderId="91" xfId="3" applyFont="1" applyFill="1" applyBorder="1" applyAlignment="1" applyProtection="1">
      <alignment horizontal="left" vertical="top" wrapText="1"/>
    </xf>
    <xf numFmtId="0" fontId="17" fillId="0" borderId="92" xfId="3" applyFont="1" applyFill="1" applyBorder="1" applyAlignment="1" applyProtection="1">
      <alignment horizontal="left" vertical="top" wrapText="1"/>
    </xf>
    <xf numFmtId="0" fontId="17" fillId="0" borderId="89" xfId="0" applyFont="1" applyFill="1" applyBorder="1" applyAlignment="1" applyProtection="1">
      <alignment horizontal="left" vertical="top" wrapText="1"/>
    </xf>
    <xf numFmtId="0" fontId="17" fillId="0" borderId="90" xfId="0" applyFont="1" applyFill="1" applyBorder="1" applyAlignment="1" applyProtection="1">
      <alignment horizontal="left" vertical="top" wrapText="1"/>
    </xf>
    <xf numFmtId="0" fontId="17" fillId="0" borderId="30" xfId="3" applyFont="1" applyFill="1" applyBorder="1" applyAlignment="1" applyProtection="1">
      <alignment horizontal="left" vertical="top" wrapText="1"/>
    </xf>
    <xf numFmtId="0" fontId="17" fillId="0" borderId="37" xfId="3" applyFont="1" applyFill="1" applyBorder="1" applyAlignment="1" applyProtection="1">
      <alignment horizontal="left" vertical="top" wrapText="1"/>
    </xf>
    <xf numFmtId="0" fontId="15" fillId="2" borderId="34" xfId="0" applyFont="1" applyFill="1" applyBorder="1" applyAlignment="1" applyProtection="1">
      <alignment horizontal="left" vertical="center" wrapText="1"/>
    </xf>
    <xf numFmtId="0" fontId="15" fillId="2" borderId="12" xfId="0" applyFont="1" applyFill="1" applyBorder="1" applyAlignment="1" applyProtection="1">
      <alignment horizontal="left" vertical="center" wrapText="1"/>
    </xf>
    <xf numFmtId="0" fontId="15" fillId="2" borderId="33" xfId="4" applyFont="1" applyFill="1" applyBorder="1" applyAlignment="1" applyProtection="1">
      <alignment horizontal="left" vertical="top" wrapText="1" readingOrder="1"/>
    </xf>
    <xf numFmtId="0" fontId="15" fillId="2" borderId="9" xfId="4" applyFont="1" applyFill="1" applyBorder="1" applyAlignment="1" applyProtection="1">
      <alignment horizontal="left" vertical="top" wrapText="1" readingOrder="1"/>
    </xf>
    <xf numFmtId="0" fontId="15" fillId="10" borderId="31" xfId="4" applyFont="1" applyFill="1" applyBorder="1" applyAlignment="1" applyProtection="1">
      <alignment horizontal="center" vertical="center" wrapText="1"/>
    </xf>
    <xf numFmtId="0" fontId="15" fillId="10" borderId="32" xfId="4" applyFont="1" applyFill="1" applyBorder="1" applyAlignment="1" applyProtection="1">
      <alignment horizontal="center" vertical="center" wrapText="1"/>
    </xf>
    <xf numFmtId="0" fontId="17" fillId="0" borderId="30" xfId="0" applyFont="1" applyFill="1" applyBorder="1" applyAlignment="1" applyProtection="1">
      <alignment horizontal="left" vertical="center" wrapText="1"/>
    </xf>
    <xf numFmtId="0" fontId="17" fillId="0" borderId="37" xfId="0" applyFont="1" applyFill="1" applyBorder="1" applyAlignment="1" applyProtection="1">
      <alignment horizontal="left" vertical="center" wrapText="1"/>
    </xf>
    <xf numFmtId="0" fontId="17" fillId="0" borderId="1" xfId="2" applyFont="1" applyFill="1" applyBorder="1" applyAlignment="1" applyProtection="1">
      <alignment horizontal="center" vertical="center" wrapText="1"/>
      <protection locked="0"/>
    </xf>
    <xf numFmtId="0" fontId="10" fillId="0" borderId="97" xfId="3" applyFont="1" applyBorder="1" applyAlignment="1" applyProtection="1">
      <alignment horizontal="left" vertical="top"/>
    </xf>
    <xf numFmtId="0" fontId="10" fillId="0" borderId="0" xfId="3" applyFont="1" applyBorder="1" applyAlignment="1" applyProtection="1">
      <alignment horizontal="left" vertical="top"/>
    </xf>
    <xf numFmtId="0" fontId="10" fillId="0" borderId="98" xfId="3" applyFont="1" applyBorder="1" applyAlignment="1" applyProtection="1">
      <alignment horizontal="left" vertical="top"/>
    </xf>
    <xf numFmtId="0" fontId="10" fillId="0" borderId="97" xfId="3" applyFont="1" applyBorder="1" applyAlignment="1" applyProtection="1">
      <alignment horizontal="left" vertical="top" wrapText="1"/>
    </xf>
    <xf numFmtId="0" fontId="10" fillId="0" borderId="0" xfId="3" applyFont="1" applyBorder="1" applyAlignment="1" applyProtection="1">
      <alignment horizontal="left" vertical="top" wrapText="1"/>
    </xf>
    <xf numFmtId="0" fontId="10" fillId="0" borderId="98" xfId="3" applyFont="1" applyBorder="1" applyAlignment="1" applyProtection="1">
      <alignment horizontal="left" vertical="top" wrapText="1"/>
    </xf>
    <xf numFmtId="0" fontId="10" fillId="0" borderId="0" xfId="3" applyFont="1" applyBorder="1" applyAlignment="1" applyProtection="1"/>
    <xf numFmtId="0" fontId="11" fillId="0" borderId="95" xfId="3" applyFont="1" applyBorder="1" applyAlignment="1" applyProtection="1">
      <alignment horizontal="center" vertical="center" wrapText="1"/>
    </xf>
    <xf numFmtId="0" fontId="11" fillId="0" borderId="73" xfId="3" applyFont="1" applyBorder="1" applyAlignment="1" applyProtection="1">
      <alignment horizontal="center" vertical="center" wrapText="1"/>
    </xf>
    <xf numFmtId="0" fontId="11" fillId="0" borderId="96" xfId="3" applyFont="1" applyBorder="1" applyAlignment="1" applyProtection="1">
      <alignment horizontal="center" vertical="center" wrapText="1"/>
    </xf>
    <xf numFmtId="0" fontId="10" fillId="0" borderId="97" xfId="3" quotePrefix="1" applyFont="1" applyBorder="1" applyAlignment="1" applyProtection="1">
      <alignment horizontal="left" vertical="center" wrapText="1"/>
    </xf>
    <xf numFmtId="0" fontId="10" fillId="0" borderId="0" xfId="3" quotePrefix="1" applyFont="1" applyBorder="1" applyAlignment="1" applyProtection="1">
      <alignment horizontal="left" vertical="center" wrapText="1"/>
    </xf>
    <xf numFmtId="0" fontId="10" fillId="0" borderId="98" xfId="3" quotePrefix="1" applyFont="1" applyBorder="1" applyAlignment="1" applyProtection="1">
      <alignment horizontal="left" vertical="center" wrapText="1"/>
    </xf>
    <xf numFmtId="0" fontId="12" fillId="0" borderId="97" xfId="3" quotePrefix="1" applyFont="1" applyBorder="1" applyAlignment="1" applyProtection="1">
      <alignment horizontal="left" vertical="top" wrapText="1"/>
    </xf>
    <xf numFmtId="0" fontId="14" fillId="0" borderId="0" xfId="3" quotePrefix="1" applyFont="1" applyBorder="1" applyAlignment="1" applyProtection="1">
      <alignment horizontal="left" vertical="top" wrapText="1"/>
    </xf>
    <xf numFmtId="0" fontId="14" fillId="0" borderId="98" xfId="3" quotePrefix="1" applyFont="1" applyBorder="1" applyAlignment="1" applyProtection="1">
      <alignment horizontal="left" vertical="top" wrapText="1"/>
    </xf>
    <xf numFmtId="0" fontId="27" fillId="0" borderId="79" xfId="2" applyNumberFormat="1" applyFont="1" applyBorder="1" applyAlignment="1" applyProtection="1">
      <alignment horizontal="center" vertical="center" wrapText="1"/>
      <protection locked="0"/>
    </xf>
    <xf numFmtId="0" fontId="28" fillId="0" borderId="79" xfId="2" applyFont="1" applyFill="1" applyBorder="1" applyAlignment="1" applyProtection="1">
      <alignment horizontal="center" vertical="center" wrapText="1"/>
      <protection locked="0"/>
    </xf>
    <xf numFmtId="0" fontId="15" fillId="2" borderId="59" xfId="3" applyFont="1" applyFill="1" applyBorder="1" applyAlignment="1" applyProtection="1">
      <alignment horizontal="center" vertical="center" textRotation="90"/>
    </xf>
    <xf numFmtId="0" fontId="15" fillId="2" borderId="60" xfId="3" applyFont="1" applyFill="1" applyBorder="1" applyAlignment="1" applyProtection="1">
      <alignment horizontal="center" vertical="center" textRotation="90"/>
    </xf>
    <xf numFmtId="0" fontId="15" fillId="2" borderId="35"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4" fillId="8" borderId="1" xfId="2" applyNumberFormat="1" applyFont="1" applyFill="1" applyBorder="1" applyAlignment="1" applyProtection="1">
      <alignment horizontal="center" vertical="center" wrapText="1"/>
      <protection locked="0"/>
    </xf>
    <xf numFmtId="0" fontId="26" fillId="10" borderId="0" xfId="0" applyFont="1" applyFill="1" applyAlignment="1" applyProtection="1">
      <alignment horizontal="center" vertical="center" wrapText="1"/>
      <protection locked="0"/>
    </xf>
    <xf numFmtId="2" fontId="23" fillId="2" borderId="0" xfId="0" applyNumberFormat="1" applyFont="1" applyFill="1" applyBorder="1" applyAlignment="1" applyProtection="1">
      <alignment horizontal="center" vertical="center" wrapText="1"/>
      <protection hidden="1"/>
    </xf>
    <xf numFmtId="0" fontId="20" fillId="2" borderId="20"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0" fontId="20" fillId="2" borderId="22" xfId="0" applyFont="1" applyFill="1" applyBorder="1" applyAlignment="1" applyProtection="1">
      <alignment horizontal="center" vertical="center"/>
      <protection locked="0"/>
    </xf>
    <xf numFmtId="0" fontId="20" fillId="2" borderId="20" xfId="0" applyFont="1" applyFill="1" applyBorder="1" applyAlignment="1" applyProtection="1">
      <alignment horizontal="center" vertical="center" wrapText="1"/>
      <protection locked="0"/>
    </xf>
    <xf numFmtId="0" fontId="20" fillId="2" borderId="21" xfId="0" applyFont="1" applyFill="1" applyBorder="1" applyAlignment="1" applyProtection="1">
      <alignment horizontal="center" vertical="center" wrapText="1"/>
      <protection locked="0"/>
    </xf>
    <xf numFmtId="0" fontId="20" fillId="2" borderId="22" xfId="0" applyFont="1" applyFill="1" applyBorder="1" applyAlignment="1" applyProtection="1">
      <alignment horizontal="center" vertical="center" wrapText="1"/>
      <protection locked="0"/>
    </xf>
    <xf numFmtId="165" fontId="23" fillId="2" borderId="0" xfId="0" applyNumberFormat="1" applyFont="1" applyFill="1" applyBorder="1" applyAlignment="1" applyProtection="1">
      <alignment horizontal="center" vertical="center" wrapText="1"/>
      <protection hidden="1"/>
    </xf>
    <xf numFmtId="166" fontId="23" fillId="2" borderId="0" xfId="0" applyNumberFormat="1" applyFont="1" applyFill="1" applyBorder="1" applyAlignment="1" applyProtection="1">
      <alignment horizontal="center" vertical="center" wrapText="1"/>
      <protection hidden="1"/>
    </xf>
    <xf numFmtId="2" fontId="22" fillId="2" borderId="0" xfId="0" applyNumberFormat="1" applyFont="1" applyFill="1" applyBorder="1" applyAlignment="1" applyProtection="1">
      <alignment horizontal="center" vertical="center" textRotation="90" wrapText="1"/>
      <protection hidden="1"/>
    </xf>
    <xf numFmtId="2" fontId="22" fillId="2" borderId="0" xfId="0" applyNumberFormat="1" applyFont="1" applyFill="1" applyBorder="1" applyAlignment="1">
      <alignment horizontal="center" vertical="center" textRotation="90" wrapText="1"/>
    </xf>
    <xf numFmtId="2" fontId="44" fillId="2" borderId="0" xfId="0" applyNumberFormat="1" applyFont="1" applyFill="1" applyBorder="1" applyAlignment="1">
      <alignment horizontal="center" vertical="center" wrapText="1"/>
    </xf>
    <xf numFmtId="2" fontId="45" fillId="2" borderId="0" xfId="0" applyNumberFormat="1" applyFont="1" applyFill="1" applyBorder="1" applyAlignment="1">
      <alignment horizontal="center" vertical="center" textRotation="90" wrapText="1"/>
    </xf>
    <xf numFmtId="165" fontId="44" fillId="2" borderId="0" xfId="0" applyNumberFormat="1" applyFont="1" applyFill="1" applyBorder="1" applyAlignment="1">
      <alignment horizontal="center" vertical="center" wrapText="1"/>
    </xf>
    <xf numFmtId="166" fontId="44" fillId="2" borderId="0" xfId="0" applyNumberFormat="1" applyFont="1" applyFill="1" applyBorder="1" applyAlignment="1">
      <alignment horizontal="center" vertical="center" wrapText="1"/>
    </xf>
    <xf numFmtId="0" fontId="18" fillId="0" borderId="38" xfId="0" applyFont="1" applyFill="1" applyBorder="1" applyAlignment="1">
      <alignment horizontal="center" vertical="center" wrapText="1"/>
    </xf>
    <xf numFmtId="0" fontId="18" fillId="0" borderId="39" xfId="0" applyFont="1" applyFill="1" applyBorder="1" applyAlignment="1">
      <alignment horizontal="center" vertical="center" wrapText="1"/>
    </xf>
    <xf numFmtId="0" fontId="18" fillId="0" borderId="40"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20" fillId="2" borderId="17" xfId="0" applyFont="1" applyFill="1" applyBorder="1" applyAlignment="1" applyProtection="1">
      <alignment horizontal="center" vertical="center"/>
      <protection locked="0"/>
    </xf>
    <xf numFmtId="0" fontId="20" fillId="2" borderId="12"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20" fillId="2" borderId="84" xfId="0" applyFont="1" applyFill="1" applyBorder="1" applyAlignment="1" applyProtection="1">
      <alignment horizontal="center" vertical="center" wrapText="1"/>
      <protection hidden="1"/>
    </xf>
    <xf numFmtId="0" fontId="20" fillId="2" borderId="80" xfId="0" applyFont="1" applyFill="1" applyBorder="1" applyAlignment="1" applyProtection="1">
      <alignment horizontal="center" vertical="center" wrapText="1"/>
      <protection hidden="1"/>
    </xf>
    <xf numFmtId="0" fontId="20" fillId="2" borderId="85" xfId="0" applyFont="1" applyFill="1" applyBorder="1" applyAlignment="1" applyProtection="1">
      <alignment horizontal="center" vertical="center" wrapText="1"/>
      <protection hidden="1"/>
    </xf>
    <xf numFmtId="0" fontId="18" fillId="0" borderId="16"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20" fillId="2" borderId="2" xfId="0" applyFont="1" applyFill="1" applyBorder="1" applyAlignment="1" applyProtection="1">
      <alignment horizontal="center" vertical="center" wrapText="1"/>
      <protection hidden="1"/>
    </xf>
    <xf numFmtId="0" fontId="20" fillId="2" borderId="23" xfId="0"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38" xfId="0" applyFont="1" applyFill="1" applyBorder="1" applyAlignment="1">
      <alignment horizontal="center" vertical="top" wrapText="1"/>
    </xf>
    <xf numFmtId="0" fontId="20" fillId="0" borderId="39" xfId="0" applyFont="1" applyFill="1" applyBorder="1" applyAlignment="1">
      <alignment horizontal="center" vertical="top" wrapText="1"/>
    </xf>
    <xf numFmtId="0" fontId="20" fillId="0" borderId="40" xfId="0" applyFont="1" applyFill="1" applyBorder="1" applyAlignment="1">
      <alignment horizontal="center" vertical="top" wrapText="1"/>
    </xf>
    <xf numFmtId="0" fontId="20" fillId="2" borderId="63" xfId="0" applyFont="1" applyFill="1" applyBorder="1" applyAlignment="1" applyProtection="1">
      <alignment horizontal="center" vertical="center"/>
      <protection locked="0"/>
    </xf>
    <xf numFmtId="0" fontId="20" fillId="2" borderId="30" xfId="0" applyFont="1" applyFill="1" applyBorder="1" applyAlignment="1" applyProtection="1">
      <alignment horizontal="center" vertical="center"/>
      <protection locked="0"/>
    </xf>
    <xf numFmtId="0" fontId="20" fillId="2" borderId="64" xfId="0" applyFont="1" applyFill="1" applyBorder="1" applyAlignment="1" applyProtection="1">
      <alignment horizontal="center" vertical="center"/>
      <protection locked="0"/>
    </xf>
    <xf numFmtId="0" fontId="23" fillId="6" borderId="6"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22" fillId="6" borderId="2"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1" xfId="0" applyFont="1" applyFill="1" applyBorder="1" applyAlignment="1" applyProtection="1">
      <alignment horizontal="center" vertical="center" textRotation="90" wrapText="1"/>
      <protection locked="0"/>
    </xf>
    <xf numFmtId="0" fontId="22" fillId="6" borderId="2" xfId="0" applyFont="1" applyFill="1" applyBorder="1" applyAlignment="1" applyProtection="1">
      <alignment horizontal="center" vertical="center" textRotation="90" wrapText="1"/>
      <protection locked="0"/>
    </xf>
    <xf numFmtId="0" fontId="22" fillId="6" borderId="1"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wrapText="1"/>
      <protection hidden="1"/>
    </xf>
    <xf numFmtId="0" fontId="23" fillId="2" borderId="0" xfId="0" applyFont="1" applyFill="1" applyBorder="1" applyAlignment="1" applyProtection="1">
      <alignment horizontal="center" vertical="center" wrapText="1"/>
      <protection hidden="1"/>
    </xf>
    <xf numFmtId="0" fontId="22" fillId="2" borderId="0" xfId="0" applyFont="1" applyFill="1" applyBorder="1" applyAlignment="1" applyProtection="1">
      <alignment horizontal="center" vertical="center" textRotation="90" wrapText="1"/>
      <protection hidden="1"/>
    </xf>
    <xf numFmtId="0" fontId="22" fillId="2" borderId="0" xfId="0" applyFont="1" applyFill="1" applyBorder="1" applyAlignment="1">
      <alignment horizontal="center" vertical="center" textRotation="90" wrapText="1"/>
    </xf>
    <xf numFmtId="0" fontId="20" fillId="0" borderId="16" xfId="0" applyFont="1" applyFill="1" applyBorder="1" applyAlignment="1" applyProtection="1">
      <alignment horizontal="left" vertical="top" wrapText="1"/>
    </xf>
    <xf numFmtId="0" fontId="20" fillId="0" borderId="14" xfId="0" applyFont="1" applyFill="1" applyBorder="1" applyAlignment="1" applyProtection="1">
      <alignment horizontal="left" vertical="top" wrapText="1"/>
    </xf>
    <xf numFmtId="0" fontId="20" fillId="0" borderId="15" xfId="0" applyFont="1" applyFill="1" applyBorder="1" applyAlignment="1" applyProtection="1">
      <alignment horizontal="left" vertical="top" wrapText="1"/>
    </xf>
    <xf numFmtId="0" fontId="18" fillId="6" borderId="6" xfId="0" applyFont="1" applyFill="1" applyBorder="1" applyAlignment="1" applyProtection="1">
      <alignment horizontal="left" vertical="center" wrapText="1"/>
    </xf>
    <xf numFmtId="0" fontId="18" fillId="6" borderId="7" xfId="0" applyFont="1" applyFill="1" applyBorder="1" applyAlignment="1" applyProtection="1">
      <alignment horizontal="left" vertical="center" wrapText="1"/>
    </xf>
    <xf numFmtId="0" fontId="18" fillId="6" borderId="1" xfId="0" applyFont="1" applyFill="1" applyBorder="1" applyAlignment="1" applyProtection="1">
      <alignment horizontal="left" vertical="center" wrapText="1"/>
    </xf>
    <xf numFmtId="0" fontId="18" fillId="6" borderId="2" xfId="0" applyFont="1" applyFill="1" applyBorder="1" applyAlignment="1" applyProtection="1">
      <alignment horizontal="left" vertical="center" wrapText="1"/>
    </xf>
    <xf numFmtId="0" fontId="20" fillId="16" borderId="1" xfId="0" applyFont="1" applyFill="1" applyBorder="1" applyAlignment="1" applyProtection="1">
      <alignment horizontal="left" vertical="top" wrapText="1"/>
    </xf>
    <xf numFmtId="0" fontId="22" fillId="6" borderId="1" xfId="0" applyFont="1" applyFill="1" applyBorder="1" applyAlignment="1" applyProtection="1">
      <alignment horizontal="left" vertical="center" wrapText="1"/>
    </xf>
    <xf numFmtId="0" fontId="22" fillId="6" borderId="2" xfId="0" applyFont="1" applyFill="1" applyBorder="1" applyAlignment="1" applyProtection="1">
      <alignment horizontal="left" vertical="center" wrapText="1"/>
    </xf>
    <xf numFmtId="0" fontId="23" fillId="6" borderId="1" xfId="0" applyFont="1" applyFill="1" applyBorder="1" applyAlignment="1" applyProtection="1">
      <alignment horizontal="left" vertical="center" wrapText="1"/>
    </xf>
    <xf numFmtId="0" fontId="23" fillId="6" borderId="2" xfId="0" applyFont="1" applyFill="1" applyBorder="1" applyAlignment="1" applyProtection="1">
      <alignment horizontal="left" vertical="center" wrapText="1"/>
    </xf>
    <xf numFmtId="0" fontId="20" fillId="0" borderId="19" xfId="0" applyFont="1" applyFill="1" applyBorder="1" applyAlignment="1" applyProtection="1">
      <alignment horizontal="left" vertical="top" wrapText="1"/>
    </xf>
    <xf numFmtId="0" fontId="22" fillId="6" borderId="1" xfId="0" applyFont="1" applyFill="1" applyBorder="1" applyAlignment="1">
      <alignment horizontal="center" vertical="center" textRotation="90" wrapText="1"/>
    </xf>
    <xf numFmtId="0" fontId="22" fillId="6" borderId="2" xfId="0" applyFont="1" applyFill="1" applyBorder="1" applyAlignment="1">
      <alignment horizontal="center" vertical="center" textRotation="90" wrapText="1"/>
    </xf>
    <xf numFmtId="0" fontId="14" fillId="16" borderId="1" xfId="0" applyFont="1" applyFill="1" applyBorder="1" applyAlignment="1" applyProtection="1">
      <alignment horizontal="center" vertical="center" wrapText="1"/>
      <protection hidden="1"/>
    </xf>
    <xf numFmtId="0" fontId="20" fillId="2" borderId="70" xfId="0" applyFont="1" applyFill="1" applyBorder="1" applyAlignment="1" applyProtection="1">
      <alignment horizontal="center" vertical="center" wrapText="1"/>
      <protection hidden="1"/>
    </xf>
    <xf numFmtId="0" fontId="20" fillId="2" borderId="13" xfId="0" applyFont="1" applyFill="1" applyBorder="1" applyAlignment="1" applyProtection="1">
      <alignment horizontal="center" vertical="center" wrapText="1"/>
      <protection hidden="1"/>
    </xf>
    <xf numFmtId="0" fontId="20" fillId="2" borderId="71" xfId="0"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textRotation="90" wrapText="1"/>
      <protection hidden="1"/>
    </xf>
    <xf numFmtId="0" fontId="22" fillId="6" borderId="2" xfId="0" applyFont="1" applyFill="1" applyBorder="1" applyAlignment="1" applyProtection="1">
      <alignment horizontal="center" vertical="center" textRotation="90" wrapText="1"/>
      <protection hidden="1"/>
    </xf>
    <xf numFmtId="0" fontId="22" fillId="6" borderId="3" xfId="0" applyFont="1" applyFill="1" applyBorder="1" applyAlignment="1" applyProtection="1">
      <alignment horizontal="center" vertical="center" textRotation="90" wrapText="1"/>
      <protection hidden="1"/>
    </xf>
    <xf numFmtId="0" fontId="20" fillId="2" borderId="3" xfId="0" applyFont="1" applyFill="1" applyBorder="1" applyAlignment="1" applyProtection="1">
      <alignment horizontal="center" vertical="center" wrapText="1"/>
      <protection hidden="1"/>
    </xf>
    <xf numFmtId="0" fontId="20" fillId="2" borderId="0" xfId="0" applyFont="1" applyFill="1" applyBorder="1" applyAlignment="1">
      <alignment horizontal="left" vertical="center" wrapText="1"/>
    </xf>
    <xf numFmtId="0" fontId="20" fillId="2" borderId="0" xfId="0" applyFont="1" applyFill="1" applyBorder="1" applyAlignment="1">
      <alignment horizontal="center"/>
    </xf>
    <xf numFmtId="164" fontId="20" fillId="2" borderId="0" xfId="0" applyNumberFormat="1" applyFont="1" applyFill="1" applyBorder="1" applyAlignment="1">
      <alignment horizontal="center"/>
    </xf>
    <xf numFmtId="0" fontId="22" fillId="6" borderId="1" xfId="0" applyFont="1" applyFill="1" applyBorder="1" applyAlignment="1">
      <alignment horizontal="center" vertical="center"/>
    </xf>
    <xf numFmtId="0" fontId="22" fillId="6" borderId="2"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4" xfId="0" applyFont="1" applyFill="1" applyBorder="1" applyAlignment="1">
      <alignment horizontal="center" vertical="center"/>
    </xf>
    <xf numFmtId="0" fontId="22" fillId="6" borderId="5" xfId="0" applyFont="1" applyFill="1" applyBorder="1" applyAlignment="1">
      <alignment horizontal="center" vertical="center"/>
    </xf>
    <xf numFmtId="0" fontId="22" fillId="6" borderId="62" xfId="0" applyFont="1" applyFill="1" applyBorder="1" applyAlignment="1">
      <alignment horizontal="center" vertical="center"/>
    </xf>
    <xf numFmtId="0" fontId="14" fillId="16" borderId="1" xfId="0" applyFont="1" applyFill="1" applyBorder="1" applyAlignment="1">
      <alignment horizontal="center" vertical="center" wrapText="1"/>
    </xf>
    <xf numFmtId="0" fontId="22" fillId="6" borderId="72" xfId="0" applyFont="1" applyFill="1" applyBorder="1" applyAlignment="1" applyProtection="1">
      <alignment horizontal="center" vertical="center"/>
      <protection locked="0"/>
    </xf>
    <xf numFmtId="0" fontId="22" fillId="6" borderId="73" xfId="0" applyFont="1" applyFill="1" applyBorder="1" applyAlignment="1" applyProtection="1">
      <alignment horizontal="center" vertical="center"/>
      <protection locked="0"/>
    </xf>
    <xf numFmtId="0" fontId="22" fillId="6" borderId="74"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2" fillId="6" borderId="24" xfId="0" applyFont="1" applyFill="1" applyBorder="1" applyAlignment="1" applyProtection="1">
      <alignment horizontal="center" vertical="center" wrapText="1"/>
      <protection locked="0"/>
    </xf>
    <xf numFmtId="0" fontId="20" fillId="0" borderId="16"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2" fillId="6" borderId="61" xfId="0" applyFont="1" applyFill="1" applyBorder="1" applyAlignment="1" applyProtection="1">
      <alignment horizontal="center" vertical="center" wrapText="1"/>
      <protection locked="0"/>
    </xf>
    <xf numFmtId="0" fontId="22" fillId="6" borderId="23" xfId="0" applyFont="1" applyFill="1" applyBorder="1" applyAlignment="1" applyProtection="1">
      <alignment horizontal="center" vertical="center" wrapText="1"/>
      <protection locked="0"/>
    </xf>
    <xf numFmtId="0" fontId="22" fillId="6" borderId="1" xfId="0" applyFont="1" applyFill="1" applyBorder="1" applyAlignment="1" applyProtection="1">
      <alignment horizontal="center" vertical="center" wrapText="1"/>
      <protection locked="0"/>
    </xf>
    <xf numFmtId="0" fontId="20" fillId="0" borderId="38" xfId="0" applyFont="1" applyFill="1" applyBorder="1" applyAlignment="1">
      <alignment horizontal="left" vertical="center" wrapText="1"/>
    </xf>
    <xf numFmtId="0" fontId="20" fillId="0" borderId="39" xfId="0" applyFont="1" applyFill="1" applyBorder="1" applyAlignment="1">
      <alignment horizontal="left" vertical="center" wrapText="1"/>
    </xf>
    <xf numFmtId="0" fontId="20" fillId="0" borderId="40" xfId="0" applyFont="1" applyFill="1" applyBorder="1" applyAlignment="1">
      <alignment horizontal="left" vertical="center" wrapText="1"/>
    </xf>
    <xf numFmtId="0" fontId="23" fillId="6" borderId="1" xfId="0" applyFont="1" applyFill="1" applyBorder="1" applyAlignment="1">
      <alignment horizontal="left" vertical="center" wrapText="1"/>
    </xf>
    <xf numFmtId="0" fontId="23" fillId="6" borderId="2" xfId="0" applyFont="1" applyFill="1" applyBorder="1" applyAlignment="1">
      <alignment horizontal="left" vertical="center" wrapText="1"/>
    </xf>
    <xf numFmtId="0" fontId="20" fillId="0" borderId="20"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39"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20" fillId="2" borderId="17"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locked="0"/>
    </xf>
    <xf numFmtId="0" fontId="20" fillId="2" borderId="28" xfId="0" applyFont="1" applyFill="1" applyBorder="1" applyAlignment="1" applyProtection="1">
      <alignment horizontal="center" vertical="center" wrapText="1"/>
      <protection locked="0"/>
    </xf>
    <xf numFmtId="0" fontId="20" fillId="2" borderId="80" xfId="0" applyFont="1" applyFill="1" applyBorder="1" applyAlignment="1" applyProtection="1">
      <alignment horizontal="center" vertical="center" wrapText="1"/>
      <protection locked="0"/>
    </xf>
    <xf numFmtId="0" fontId="20" fillId="2" borderId="85" xfId="0" applyFont="1" applyFill="1" applyBorder="1" applyAlignment="1" applyProtection="1">
      <alignment horizontal="center" vertical="center" wrapText="1"/>
      <protection locked="0"/>
    </xf>
    <xf numFmtId="0" fontId="22" fillId="6" borderId="61" xfId="0" applyFont="1" applyFill="1" applyBorder="1" applyAlignment="1">
      <alignment horizontal="center" vertical="center" wrapText="1"/>
    </xf>
    <xf numFmtId="0" fontId="39" fillId="6" borderId="0" xfId="0" applyFont="1" applyFill="1" applyBorder="1" applyAlignment="1">
      <alignment horizontal="center" vertical="center"/>
    </xf>
    <xf numFmtId="0" fontId="19" fillId="2" borderId="0" xfId="0" applyFont="1" applyFill="1" applyBorder="1" applyAlignment="1">
      <alignment horizontal="justify" vertical="top" wrapText="1"/>
    </xf>
    <xf numFmtId="0" fontId="20" fillId="0" borderId="108" xfId="0" applyFont="1" applyFill="1" applyBorder="1" applyAlignment="1">
      <alignment horizontal="left" vertical="center" wrapText="1"/>
    </xf>
    <xf numFmtId="0" fontId="20" fillId="2" borderId="80" xfId="0" applyFont="1" applyFill="1" applyBorder="1" applyAlignment="1" applyProtection="1">
      <alignment horizontal="center" vertical="center"/>
      <protection locked="0"/>
    </xf>
    <xf numFmtId="0" fontId="20" fillId="2" borderId="85" xfId="0" applyFont="1" applyFill="1" applyBorder="1" applyAlignment="1" applyProtection="1">
      <alignment horizontal="center" vertical="center"/>
      <protection locked="0"/>
    </xf>
    <xf numFmtId="0" fontId="37" fillId="16" borderId="1" xfId="0" applyFont="1" applyFill="1" applyBorder="1" applyAlignment="1">
      <alignment horizontal="center" vertical="center" textRotation="90" shrinkToFit="1"/>
    </xf>
    <xf numFmtId="0" fontId="20" fillId="0" borderId="107" xfId="0" applyFont="1" applyFill="1" applyBorder="1" applyAlignment="1">
      <alignment horizontal="center" vertical="center" wrapText="1"/>
    </xf>
    <xf numFmtId="0" fontId="20" fillId="2" borderId="26" xfId="0" applyFont="1" applyFill="1" applyBorder="1" applyAlignment="1" applyProtection="1">
      <alignment horizontal="center" vertical="center" wrapText="1"/>
      <protection hidden="1"/>
    </xf>
    <xf numFmtId="0" fontId="20" fillId="2" borderId="65" xfId="0" applyFont="1" applyFill="1" applyBorder="1" applyAlignment="1" applyProtection="1">
      <alignment horizontal="center" vertical="center"/>
      <protection locked="0"/>
    </xf>
    <xf numFmtId="0" fontId="20" fillId="2" borderId="66" xfId="0" applyFont="1" applyFill="1" applyBorder="1" applyAlignment="1" applyProtection="1">
      <alignment horizontal="center" vertical="center"/>
      <protection locked="0"/>
    </xf>
    <xf numFmtId="0" fontId="20" fillId="2" borderId="67" xfId="0" applyFont="1" applyFill="1" applyBorder="1" applyAlignment="1" applyProtection="1">
      <alignment horizontal="center" vertical="center"/>
      <protection locked="0"/>
    </xf>
    <xf numFmtId="49" fontId="41" fillId="2" borderId="50" xfId="0" applyNumberFormat="1" applyFont="1" applyFill="1" applyBorder="1" applyAlignment="1">
      <alignment horizontal="left" vertical="center" wrapText="1"/>
    </xf>
    <xf numFmtId="49" fontId="41" fillId="2" borderId="48" xfId="0" applyNumberFormat="1" applyFont="1" applyFill="1" applyBorder="1" applyAlignment="1">
      <alignment horizontal="left" vertical="center" wrapText="1"/>
    </xf>
    <xf numFmtId="0" fontId="33" fillId="3" borderId="41" xfId="0" applyFont="1" applyFill="1" applyBorder="1" applyAlignment="1">
      <alignment horizontal="center" vertical="center"/>
    </xf>
    <xf numFmtId="0" fontId="33" fillId="3" borderId="42" xfId="0" applyFont="1" applyFill="1" applyBorder="1" applyAlignment="1">
      <alignment horizontal="center" vertical="center"/>
    </xf>
    <xf numFmtId="0" fontId="33" fillId="3" borderId="43" xfId="0" applyFont="1" applyFill="1" applyBorder="1" applyAlignment="1">
      <alignment horizontal="center" vertical="center"/>
    </xf>
    <xf numFmtId="49" fontId="41" fillId="2" borderId="49" xfId="0" applyNumberFormat="1" applyFont="1" applyFill="1" applyBorder="1" applyAlignment="1">
      <alignment horizontal="left" vertical="center" wrapText="1"/>
    </xf>
    <xf numFmtId="49" fontId="41" fillId="2" borderId="47" xfId="0" applyNumberFormat="1" applyFont="1" applyFill="1" applyBorder="1" applyAlignment="1">
      <alignment horizontal="left" vertical="center" wrapText="1"/>
    </xf>
    <xf numFmtId="49" fontId="0" fillId="2" borderId="46" xfId="0" applyNumberFormat="1" applyFill="1" applyBorder="1" applyAlignment="1" applyProtection="1">
      <alignment horizontal="center" vertical="center" wrapText="1"/>
      <protection locked="0"/>
    </xf>
    <xf numFmtId="49" fontId="0" fillId="2" borderId="105" xfId="0" applyNumberFormat="1" applyFill="1" applyBorder="1" applyAlignment="1" applyProtection="1">
      <alignment horizontal="center" vertical="center" wrapText="1"/>
      <protection locked="0"/>
    </xf>
    <xf numFmtId="49" fontId="0" fillId="2" borderId="106" xfId="0" applyNumberFormat="1" applyFill="1" applyBorder="1" applyAlignment="1" applyProtection="1">
      <alignment horizontal="center" vertical="center" wrapText="1"/>
      <protection locked="0"/>
    </xf>
    <xf numFmtId="0" fontId="20" fillId="2" borderId="1" xfId="0" applyFont="1" applyFill="1" applyBorder="1" applyAlignment="1" applyProtection="1">
      <alignment horizontal="center"/>
      <protection locked="0"/>
    </xf>
    <xf numFmtId="164" fontId="20" fillId="2" borderId="4" xfId="0" applyNumberFormat="1" applyFont="1" applyFill="1" applyBorder="1" applyAlignment="1" applyProtection="1">
      <alignment horizontal="center"/>
      <protection locked="0"/>
    </xf>
    <xf numFmtId="164" fontId="20" fillId="2" borderId="5" xfId="0" applyNumberFormat="1" applyFont="1" applyFill="1" applyBorder="1" applyAlignment="1" applyProtection="1">
      <alignment horizontal="center"/>
      <protection locked="0"/>
    </xf>
    <xf numFmtId="164" fontId="20" fillId="2" borderId="62" xfId="0" applyNumberFormat="1" applyFont="1" applyFill="1" applyBorder="1" applyAlignment="1" applyProtection="1">
      <alignment horizontal="center"/>
      <protection locked="0"/>
    </xf>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3" fillId="3" borderId="76" xfId="0" applyFont="1" applyFill="1" applyBorder="1" applyAlignment="1">
      <alignment horizontal="center" vertical="center" wrapText="1"/>
    </xf>
    <xf numFmtId="0" fontId="33" fillId="3" borderId="77" xfId="0" applyFont="1" applyFill="1" applyBorder="1" applyAlignment="1">
      <alignment horizontal="center" vertical="center" wrapText="1"/>
    </xf>
    <xf numFmtId="0" fontId="33" fillId="3" borderId="78" xfId="0" applyFont="1" applyFill="1" applyBorder="1" applyAlignment="1">
      <alignment horizontal="center" vertical="center" wrapText="1"/>
    </xf>
  </cellXfs>
  <cellStyles count="5">
    <cellStyle name="Normal" xfId="0" builtinId="0"/>
    <cellStyle name="Normal - Style1 2" xfId="3"/>
    <cellStyle name="Normal 2" xfId="2"/>
    <cellStyle name="Normal 2 2" xfId="4"/>
    <cellStyle name="table_head1"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1765300</xdr:colOff>
      <xdr:row>0</xdr:row>
      <xdr:rowOff>0</xdr:rowOff>
    </xdr:from>
    <xdr:to>
      <xdr:col>7</xdr:col>
      <xdr:colOff>2204378</xdr:colOff>
      <xdr:row>16</xdr:row>
      <xdr:rowOff>4250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191500" y="0"/>
          <a:ext cx="3966503" cy="225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zoomScale="90" zoomScaleNormal="90" workbookViewId="0">
      <selection activeCell="D37" sqref="D37"/>
    </sheetView>
  </sheetViews>
  <sheetFormatPr baseColWidth="10" defaultColWidth="0" defaultRowHeight="0" customHeight="1" zeroHeight="1" x14ac:dyDescent="0.2"/>
  <cols>
    <col min="1" max="1" width="3.85546875" style="7" customWidth="1"/>
    <col min="2" max="2" width="15.28515625" style="7" customWidth="1"/>
    <col min="3" max="3" width="17.28515625" style="7" customWidth="1"/>
    <col min="4" max="4" width="28.5703125" style="7" customWidth="1"/>
    <col min="5" max="5" width="12.85546875" style="7" customWidth="1"/>
    <col min="6" max="6" width="47.140625" style="7" customWidth="1"/>
    <col min="7" max="7" width="21.42578125" style="7" customWidth="1"/>
    <col min="8" max="8" width="6.5703125" style="7" customWidth="1"/>
    <col min="9" max="9" width="2.5703125" style="7" customWidth="1"/>
    <col min="10" max="16384" width="11.42578125" style="7" hidden="1"/>
  </cols>
  <sheetData>
    <row r="1" spans="1:8" ht="13.5" thickBot="1" x14ac:dyDescent="0.25"/>
    <row r="2" spans="1:8" ht="73.5" customHeight="1" x14ac:dyDescent="0.2">
      <c r="A2" s="7" t="e">
        <f>+A2:H15E15A2:H13A2:H19E15A2:H13A2:H26E15A2:H13A2A2:H35</f>
        <v>#NAME?</v>
      </c>
      <c r="B2" s="174" t="s">
        <v>0</v>
      </c>
      <c r="C2" s="175"/>
      <c r="D2" s="175"/>
      <c r="E2" s="175"/>
      <c r="F2" s="175"/>
      <c r="G2" s="175"/>
      <c r="H2" s="176"/>
    </row>
    <row r="3" spans="1:8" ht="12.75" x14ac:dyDescent="0.2">
      <c r="B3" s="68"/>
      <c r="C3" s="78"/>
      <c r="D3" s="78"/>
      <c r="E3" s="78"/>
      <c r="F3" s="78"/>
      <c r="G3" s="78"/>
      <c r="H3" s="69"/>
    </row>
    <row r="4" spans="1:8" ht="12.75" x14ac:dyDescent="0.2">
      <c r="B4" s="68"/>
      <c r="C4" s="78"/>
      <c r="D4" s="78"/>
      <c r="E4" s="78"/>
      <c r="F4" s="78"/>
      <c r="G4" s="78"/>
      <c r="H4" s="69"/>
    </row>
    <row r="5" spans="1:8" ht="12.75" x14ac:dyDescent="0.2">
      <c r="B5" s="70"/>
      <c r="C5" s="8"/>
      <c r="D5" s="8"/>
      <c r="E5" s="8"/>
      <c r="F5" s="8"/>
      <c r="G5" s="8"/>
      <c r="H5" s="71"/>
    </row>
    <row r="6" spans="1:8" ht="65.25" customHeight="1" x14ac:dyDescent="0.2">
      <c r="B6" s="177" t="s">
        <v>1</v>
      </c>
      <c r="C6" s="178"/>
      <c r="D6" s="178"/>
      <c r="E6" s="178"/>
      <c r="F6" s="178"/>
      <c r="G6" s="178"/>
      <c r="H6" s="179"/>
    </row>
    <row r="7" spans="1:8" ht="74.25" customHeight="1" x14ac:dyDescent="0.2">
      <c r="B7" s="177"/>
      <c r="C7" s="178"/>
      <c r="D7" s="178"/>
      <c r="E7" s="178"/>
      <c r="F7" s="178"/>
      <c r="G7" s="178"/>
      <c r="H7" s="179"/>
    </row>
    <row r="8" spans="1:8" ht="21.75" customHeight="1" x14ac:dyDescent="0.2">
      <c r="B8" s="180" t="s">
        <v>2</v>
      </c>
      <c r="C8" s="181"/>
      <c r="D8" s="181"/>
      <c r="E8" s="181"/>
      <c r="F8" s="181"/>
      <c r="G8" s="181"/>
      <c r="H8" s="182"/>
    </row>
    <row r="9" spans="1:8" ht="42" customHeight="1" x14ac:dyDescent="0.2">
      <c r="B9" s="147" t="s">
        <v>3</v>
      </c>
      <c r="C9" s="148"/>
      <c r="D9" s="148"/>
      <c r="E9" s="148"/>
      <c r="F9" s="148"/>
      <c r="G9" s="148"/>
      <c r="H9" s="149"/>
    </row>
    <row r="10" spans="1:8" ht="43.5" customHeight="1" x14ac:dyDescent="0.2">
      <c r="B10" s="147"/>
      <c r="C10" s="148"/>
      <c r="D10" s="148"/>
      <c r="E10" s="148"/>
      <c r="F10" s="148"/>
      <c r="G10" s="148"/>
      <c r="H10" s="149"/>
    </row>
    <row r="11" spans="1:8" ht="12.75" customHeight="1" thickBot="1" x14ac:dyDescent="0.25">
      <c r="B11" s="68"/>
      <c r="C11" s="78"/>
      <c r="D11" s="9"/>
      <c r="E11" s="10"/>
      <c r="F11" s="10"/>
      <c r="G11" s="11"/>
      <c r="H11" s="72"/>
    </row>
    <row r="12" spans="1:8" ht="21" customHeight="1" thickTop="1" x14ac:dyDescent="0.2">
      <c r="B12" s="68"/>
      <c r="C12" s="162" t="s">
        <v>4</v>
      </c>
      <c r="D12" s="163"/>
      <c r="E12" s="150" t="s">
        <v>5</v>
      </c>
      <c r="F12" s="151"/>
      <c r="G12" s="78"/>
      <c r="H12" s="69"/>
    </row>
    <row r="13" spans="1:8" ht="37.5" customHeight="1" x14ac:dyDescent="0.2">
      <c r="B13" s="68"/>
      <c r="C13" s="160" t="s">
        <v>6</v>
      </c>
      <c r="D13" s="161"/>
      <c r="E13" s="152" t="s">
        <v>7</v>
      </c>
      <c r="F13" s="153"/>
      <c r="G13" s="78"/>
      <c r="H13" s="69"/>
    </row>
    <row r="14" spans="1:8" ht="39.75" customHeight="1" x14ac:dyDescent="0.2">
      <c r="B14" s="68"/>
      <c r="C14" s="158" t="s">
        <v>8</v>
      </c>
      <c r="D14" s="159"/>
      <c r="E14" s="156" t="s">
        <v>9</v>
      </c>
      <c r="F14" s="157"/>
      <c r="G14" s="78"/>
      <c r="H14" s="69"/>
    </row>
    <row r="15" spans="1:8" ht="230.25" customHeight="1" x14ac:dyDescent="0.2">
      <c r="B15" s="68"/>
      <c r="C15" s="158" t="s">
        <v>10</v>
      </c>
      <c r="D15" s="159"/>
      <c r="E15" s="156" t="s">
        <v>11</v>
      </c>
      <c r="F15" s="157"/>
      <c r="G15" s="78"/>
      <c r="H15" s="69"/>
    </row>
    <row r="16" spans="1:8" ht="15.75" customHeight="1" x14ac:dyDescent="0.2">
      <c r="B16" s="68"/>
      <c r="C16" s="185" t="s">
        <v>12</v>
      </c>
      <c r="D16" s="19" t="s">
        <v>13</v>
      </c>
      <c r="E16" s="156" t="s">
        <v>14</v>
      </c>
      <c r="F16" s="157"/>
      <c r="G16" s="78"/>
      <c r="H16" s="69"/>
    </row>
    <row r="17" spans="2:8" ht="54" customHeight="1" x14ac:dyDescent="0.2">
      <c r="B17" s="68"/>
      <c r="C17" s="186"/>
      <c r="D17" s="47" t="s">
        <v>15</v>
      </c>
      <c r="E17" s="164" t="s">
        <v>16</v>
      </c>
      <c r="F17" s="165"/>
      <c r="G17" s="78"/>
      <c r="H17" s="69"/>
    </row>
    <row r="18" spans="2:8" ht="98.25" customHeight="1" x14ac:dyDescent="0.2">
      <c r="B18" s="68"/>
      <c r="C18" s="186"/>
      <c r="D18" s="47" t="s">
        <v>17</v>
      </c>
      <c r="E18" s="164" t="s">
        <v>18</v>
      </c>
      <c r="F18" s="165"/>
      <c r="G18" s="78"/>
      <c r="H18" s="69"/>
    </row>
    <row r="19" spans="2:8" ht="83.25" customHeight="1" thickBot="1" x14ac:dyDescent="0.25">
      <c r="B19" s="68"/>
      <c r="C19" s="187" t="s">
        <v>19</v>
      </c>
      <c r="D19" s="188"/>
      <c r="E19" s="154" t="s">
        <v>20</v>
      </c>
      <c r="F19" s="155"/>
      <c r="G19" s="78"/>
      <c r="H19" s="69"/>
    </row>
    <row r="20" spans="2:8" ht="19.5" customHeight="1" thickTop="1" x14ac:dyDescent="0.2">
      <c r="B20" s="68"/>
      <c r="C20" s="12"/>
      <c r="D20" s="12"/>
      <c r="E20" s="13"/>
      <c r="F20" s="13"/>
      <c r="G20" s="78"/>
      <c r="H20" s="69"/>
    </row>
    <row r="21" spans="2:8" ht="37.5" customHeight="1" x14ac:dyDescent="0.2">
      <c r="B21" s="170" t="s">
        <v>21</v>
      </c>
      <c r="C21" s="171"/>
      <c r="D21" s="171"/>
      <c r="E21" s="171"/>
      <c r="F21" s="171"/>
      <c r="G21" s="171"/>
      <c r="H21" s="172"/>
    </row>
    <row r="22" spans="2:8" ht="27.75" customHeight="1" x14ac:dyDescent="0.2">
      <c r="B22" s="68"/>
      <c r="C22" s="78"/>
      <c r="D22" s="78"/>
      <c r="E22" s="78"/>
      <c r="F22" s="78"/>
      <c r="G22" s="78"/>
      <c r="H22" s="69"/>
    </row>
    <row r="23" spans="2:8" ht="27.75" customHeight="1" x14ac:dyDescent="0.2">
      <c r="B23" s="68"/>
      <c r="C23" s="128" t="s">
        <v>22</v>
      </c>
      <c r="D23" s="189" t="s">
        <v>5</v>
      </c>
      <c r="E23" s="189"/>
      <c r="F23" s="189" t="s">
        <v>23</v>
      </c>
      <c r="G23" s="189"/>
      <c r="H23" s="69"/>
    </row>
    <row r="24" spans="2:8" ht="59.25" customHeight="1" x14ac:dyDescent="0.2">
      <c r="B24" s="68"/>
      <c r="C24" s="86" t="s">
        <v>24</v>
      </c>
      <c r="D24" s="166" t="s">
        <v>25</v>
      </c>
      <c r="E24" s="166"/>
      <c r="F24" s="166" t="s">
        <v>26</v>
      </c>
      <c r="G24" s="166"/>
      <c r="H24" s="69"/>
    </row>
    <row r="25" spans="2:8" ht="53.25" customHeight="1" x14ac:dyDescent="0.2">
      <c r="B25" s="68"/>
      <c r="C25" s="87" t="s">
        <v>27</v>
      </c>
      <c r="D25" s="166" t="s">
        <v>28</v>
      </c>
      <c r="E25" s="166"/>
      <c r="F25" s="166" t="s">
        <v>29</v>
      </c>
      <c r="G25" s="166"/>
      <c r="H25" s="69"/>
    </row>
    <row r="26" spans="2:8" ht="62.25" customHeight="1" x14ac:dyDescent="0.2">
      <c r="B26" s="68"/>
      <c r="C26" s="88" t="s">
        <v>30</v>
      </c>
      <c r="D26" s="166" t="s">
        <v>31</v>
      </c>
      <c r="E26" s="166"/>
      <c r="F26" s="166" t="s">
        <v>32</v>
      </c>
      <c r="G26" s="166"/>
      <c r="H26" s="69"/>
    </row>
    <row r="27" spans="2:8" ht="70.5" customHeight="1" x14ac:dyDescent="0.2">
      <c r="B27" s="68"/>
      <c r="C27" s="89" t="s">
        <v>33</v>
      </c>
      <c r="D27" s="166" t="s">
        <v>34</v>
      </c>
      <c r="E27" s="166"/>
      <c r="F27" s="166" t="s">
        <v>35</v>
      </c>
      <c r="G27" s="166"/>
      <c r="H27" s="69"/>
    </row>
    <row r="28" spans="2:8" ht="11.25" customHeight="1" x14ac:dyDescent="0.2">
      <c r="B28" s="73"/>
      <c r="C28" s="67"/>
      <c r="D28" s="67"/>
      <c r="E28" s="67"/>
      <c r="F28" s="67"/>
      <c r="G28" s="67"/>
      <c r="H28" s="74"/>
    </row>
    <row r="29" spans="2:8" ht="14.25" customHeight="1" x14ac:dyDescent="0.2">
      <c r="B29" s="129"/>
      <c r="C29" s="183"/>
      <c r="D29" s="183"/>
      <c r="E29" s="184"/>
      <c r="F29" s="184"/>
      <c r="G29" s="184"/>
      <c r="H29" s="130"/>
    </row>
    <row r="30" spans="2:8" ht="27.75" customHeight="1" x14ac:dyDescent="0.2">
      <c r="B30" s="170" t="s">
        <v>36</v>
      </c>
      <c r="C30" s="171"/>
      <c r="D30" s="171"/>
      <c r="E30" s="171"/>
      <c r="F30" s="171"/>
      <c r="G30" s="171"/>
      <c r="H30" s="172"/>
    </row>
    <row r="31" spans="2:8" ht="13.5" x14ac:dyDescent="0.2">
      <c r="B31" s="68"/>
      <c r="C31" s="14"/>
      <c r="D31" s="14"/>
      <c r="E31" s="173"/>
      <c r="F31" s="173"/>
      <c r="G31" s="78"/>
      <c r="H31" s="69"/>
    </row>
    <row r="32" spans="2:8" ht="16.5" x14ac:dyDescent="0.2">
      <c r="B32" s="167" t="s">
        <v>37</v>
      </c>
      <c r="C32" s="168"/>
      <c r="D32" s="168"/>
      <c r="E32" s="168"/>
      <c r="F32" s="168"/>
      <c r="G32" s="168"/>
      <c r="H32" s="169"/>
    </row>
    <row r="33" spans="2:8" ht="13.5" thickBot="1" x14ac:dyDescent="0.25">
      <c r="B33" s="75"/>
      <c r="C33" s="76"/>
      <c r="D33" s="76"/>
      <c r="E33" s="76"/>
      <c r="F33" s="76"/>
      <c r="G33" s="76"/>
      <c r="H33" s="77"/>
    </row>
    <row r="34" spans="2:8" ht="12.75" x14ac:dyDescent="0.2"/>
    <row r="35" spans="2:8" ht="29.25" customHeight="1" x14ac:dyDescent="0.2"/>
    <row r="36" spans="2:8" ht="26.25" customHeight="1" x14ac:dyDescent="0.2"/>
    <row r="37" spans="2:8" ht="43.5" customHeight="1" x14ac:dyDescent="0.2"/>
    <row r="38" spans="2:8" ht="53.25" customHeight="1" x14ac:dyDescent="0.2"/>
    <row r="39" spans="2:8" ht="12.75" x14ac:dyDescent="0.2"/>
    <row r="40" spans="2:8" ht="12.75" x14ac:dyDescent="0.2"/>
    <row r="41" spans="2:8" ht="12.75" x14ac:dyDescent="0.2"/>
    <row r="42" spans="2:8" ht="12.75" x14ac:dyDescent="0.2"/>
    <row r="43" spans="2:8" ht="12.75" x14ac:dyDescent="0.2"/>
    <row r="44" spans="2:8" ht="12.75" x14ac:dyDescent="0.2"/>
    <row r="45" spans="2:8" ht="12.75" customHeight="1" x14ac:dyDescent="0.2"/>
    <row r="46" spans="2:8" ht="12.75" customHeight="1" x14ac:dyDescent="0.2"/>
    <row r="47" spans="2:8" ht="12.75" customHeight="1" x14ac:dyDescent="0.2"/>
    <row r="48" spans="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4">
    <mergeCell ref="B2:H2"/>
    <mergeCell ref="B6:H7"/>
    <mergeCell ref="B8:H8"/>
    <mergeCell ref="C29:D29"/>
    <mergeCell ref="E29:G29"/>
    <mergeCell ref="C15:D15"/>
    <mergeCell ref="C16:C18"/>
    <mergeCell ref="C19:D19"/>
    <mergeCell ref="E16:F16"/>
    <mergeCell ref="D24:E24"/>
    <mergeCell ref="D23:E23"/>
    <mergeCell ref="F26:G26"/>
    <mergeCell ref="F27:G27"/>
    <mergeCell ref="F23:G23"/>
    <mergeCell ref="D27:E27"/>
    <mergeCell ref="F24:G24"/>
    <mergeCell ref="F25:G25"/>
    <mergeCell ref="D25:E25"/>
    <mergeCell ref="B32:H32"/>
    <mergeCell ref="E18:F18"/>
    <mergeCell ref="B21:H21"/>
    <mergeCell ref="E31:F31"/>
    <mergeCell ref="D26:E26"/>
    <mergeCell ref="B30:H30"/>
    <mergeCell ref="B9:H10"/>
    <mergeCell ref="E12:F12"/>
    <mergeCell ref="E13:F13"/>
    <mergeCell ref="E19:F19"/>
    <mergeCell ref="E15:F15"/>
    <mergeCell ref="C14:D14"/>
    <mergeCell ref="C13:D13"/>
    <mergeCell ref="C12:D12"/>
    <mergeCell ref="E14:F14"/>
    <mergeCell ref="E17:F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9"/>
  <sheetViews>
    <sheetView showGridLines="0" workbookViewId="0">
      <pane xSplit="1" ySplit="4" topLeftCell="B24" activePane="bottomRight" state="frozen"/>
      <selection pane="topRight" activeCell="B1" sqref="B1"/>
      <selection pane="bottomLeft" activeCell="A11" sqref="A11"/>
      <selection pane="bottomRight" activeCell="C25" sqref="C25"/>
    </sheetView>
  </sheetViews>
  <sheetFormatPr baseColWidth="10" defaultColWidth="11.42578125" defaultRowHeight="16.5" x14ac:dyDescent="0.3"/>
  <cols>
    <col min="1" max="1" width="3.5703125" style="21" customWidth="1"/>
    <col min="2" max="2" width="36.42578125" style="21" customWidth="1"/>
    <col min="3" max="3" width="67.140625" style="25" customWidth="1"/>
    <col min="4" max="16384" width="11.42578125" style="21"/>
  </cols>
  <sheetData>
    <row r="2" spans="2:12" x14ac:dyDescent="0.3">
      <c r="B2" s="190" t="s">
        <v>38</v>
      </c>
      <c r="C2" s="190"/>
      <c r="D2" s="20"/>
      <c r="E2" s="20"/>
      <c r="F2" s="20"/>
      <c r="G2" s="20"/>
      <c r="H2" s="20"/>
      <c r="I2" s="20"/>
      <c r="J2" s="20"/>
      <c r="K2" s="20"/>
      <c r="L2" s="20"/>
    </row>
    <row r="4" spans="2:12" x14ac:dyDescent="0.3">
      <c r="B4" s="26" t="s">
        <v>39</v>
      </c>
      <c r="C4" s="27" t="s">
        <v>5</v>
      </c>
    </row>
    <row r="5" spans="2:12" ht="66" x14ac:dyDescent="0.3">
      <c r="B5" s="82" t="s">
        <v>40</v>
      </c>
      <c r="C5" s="22" t="s">
        <v>41</v>
      </c>
    </row>
    <row r="6" spans="2:12" ht="46.5" customHeight="1" x14ac:dyDescent="0.3">
      <c r="B6" s="83" t="s">
        <v>42</v>
      </c>
      <c r="C6" s="23" t="s">
        <v>43</v>
      </c>
    </row>
    <row r="7" spans="2:12" ht="66" x14ac:dyDescent="0.3">
      <c r="B7" s="84" t="s">
        <v>44</v>
      </c>
      <c r="C7" s="24" t="s">
        <v>45</v>
      </c>
    </row>
    <row r="8" spans="2:12" ht="49.5" x14ac:dyDescent="0.3">
      <c r="B8" s="85" t="s">
        <v>46</v>
      </c>
      <c r="C8" s="24" t="s">
        <v>47</v>
      </c>
    </row>
    <row r="9" spans="2:12" ht="49.5" x14ac:dyDescent="0.3">
      <c r="B9" s="85" t="s">
        <v>48</v>
      </c>
      <c r="C9" s="24" t="s">
        <v>49</v>
      </c>
    </row>
    <row r="10" spans="2:12" x14ac:dyDescent="0.3">
      <c r="B10" s="84" t="s">
        <v>50</v>
      </c>
      <c r="C10" s="24" t="s">
        <v>51</v>
      </c>
    </row>
    <row r="11" spans="2:12" ht="132" x14ac:dyDescent="0.3">
      <c r="B11" s="84" t="s">
        <v>52</v>
      </c>
      <c r="C11" s="24" t="s">
        <v>53</v>
      </c>
    </row>
    <row r="12" spans="2:12" ht="66" x14ac:dyDescent="0.3">
      <c r="B12" s="84" t="s">
        <v>54</v>
      </c>
      <c r="C12" s="24" t="s">
        <v>55</v>
      </c>
    </row>
    <row r="13" spans="2:12" ht="49.5" x14ac:dyDescent="0.3">
      <c r="B13" s="84" t="s">
        <v>56</v>
      </c>
      <c r="C13" s="24" t="s">
        <v>57</v>
      </c>
    </row>
    <row r="14" spans="2:12" ht="49.5" x14ac:dyDescent="0.3">
      <c r="B14" s="85" t="s">
        <v>58</v>
      </c>
      <c r="C14" s="81" t="s">
        <v>59</v>
      </c>
    </row>
    <row r="15" spans="2:12" ht="33" x14ac:dyDescent="0.3">
      <c r="B15" s="85" t="s">
        <v>60</v>
      </c>
      <c r="C15" s="81" t="s">
        <v>61</v>
      </c>
    </row>
    <row r="16" spans="2:12" ht="66" x14ac:dyDescent="0.3">
      <c r="B16" s="85" t="s">
        <v>62</v>
      </c>
      <c r="C16" s="81" t="s">
        <v>63</v>
      </c>
    </row>
    <row r="17" spans="2:3" ht="33" x14ac:dyDescent="0.3">
      <c r="B17" s="85" t="s">
        <v>64</v>
      </c>
      <c r="C17" s="81" t="s">
        <v>65</v>
      </c>
    </row>
    <row r="18" spans="2:3" x14ac:dyDescent="0.3">
      <c r="B18" s="85" t="s">
        <v>66</v>
      </c>
      <c r="C18" s="81" t="s">
        <v>67</v>
      </c>
    </row>
    <row r="19" spans="2:3" ht="33" x14ac:dyDescent="0.3">
      <c r="B19" s="85" t="s">
        <v>68</v>
      </c>
      <c r="C19" s="81" t="s">
        <v>69</v>
      </c>
    </row>
    <row r="20" spans="2:3" ht="33" x14ac:dyDescent="0.3">
      <c r="B20" s="84" t="s">
        <v>70</v>
      </c>
      <c r="C20" s="24" t="s">
        <v>71</v>
      </c>
    </row>
    <row r="21" spans="2:3" ht="66" x14ac:dyDescent="0.3">
      <c r="B21" s="84" t="s">
        <v>72</v>
      </c>
      <c r="C21" s="24" t="s">
        <v>73</v>
      </c>
    </row>
    <row r="22" spans="2:3" ht="82.5" x14ac:dyDescent="0.3">
      <c r="B22" s="84" t="s">
        <v>74</v>
      </c>
      <c r="C22" s="24" t="s">
        <v>75</v>
      </c>
    </row>
    <row r="23" spans="2:3" ht="66" x14ac:dyDescent="0.3">
      <c r="B23" s="84" t="s">
        <v>76</v>
      </c>
      <c r="C23" s="24" t="s">
        <v>77</v>
      </c>
    </row>
    <row r="24" spans="2:3" ht="99" x14ac:dyDescent="0.3">
      <c r="B24" s="84" t="s">
        <v>78</v>
      </c>
      <c r="C24" s="24" t="s">
        <v>79</v>
      </c>
    </row>
    <row r="25" spans="2:3" ht="33" x14ac:dyDescent="0.3">
      <c r="B25" s="84" t="s">
        <v>80</v>
      </c>
      <c r="C25" s="24" t="s">
        <v>81</v>
      </c>
    </row>
    <row r="26" spans="2:3" ht="33" x14ac:dyDescent="0.3">
      <c r="B26" s="85" t="s">
        <v>82</v>
      </c>
      <c r="C26" s="81" t="s">
        <v>83</v>
      </c>
    </row>
    <row r="27" spans="2:3" ht="33" x14ac:dyDescent="0.3">
      <c r="B27" s="85" t="s">
        <v>84</v>
      </c>
      <c r="C27" s="81" t="s">
        <v>85</v>
      </c>
    </row>
    <row r="28" spans="2:3" ht="49.5" x14ac:dyDescent="0.3">
      <c r="B28" s="85" t="s">
        <v>27</v>
      </c>
      <c r="C28" s="81" t="s">
        <v>86</v>
      </c>
    </row>
    <row r="29" spans="2:3" ht="33" x14ac:dyDescent="0.3">
      <c r="B29" s="84" t="s">
        <v>87</v>
      </c>
      <c r="C29" s="24" t="s">
        <v>88</v>
      </c>
    </row>
    <row r="30" spans="2:3" ht="33" x14ac:dyDescent="0.3">
      <c r="B30" s="84" t="s">
        <v>89</v>
      </c>
      <c r="C30" s="24" t="s">
        <v>90</v>
      </c>
    </row>
    <row r="31" spans="2:3" ht="33" x14ac:dyDescent="0.3">
      <c r="B31" s="84" t="s">
        <v>91</v>
      </c>
      <c r="C31" s="24" t="s">
        <v>92</v>
      </c>
    </row>
    <row r="32" spans="2:3" ht="49.5" x14ac:dyDescent="0.3">
      <c r="B32" s="84" t="s">
        <v>93</v>
      </c>
      <c r="C32" s="24" t="s">
        <v>94</v>
      </c>
    </row>
    <row r="33" spans="2:3" ht="33" x14ac:dyDescent="0.3">
      <c r="B33" s="84" t="s">
        <v>95</v>
      </c>
      <c r="C33" s="24" t="s">
        <v>96</v>
      </c>
    </row>
    <row r="34" spans="2:3" ht="33" x14ac:dyDescent="0.3">
      <c r="B34" s="84" t="s">
        <v>97</v>
      </c>
      <c r="C34" s="24" t="s">
        <v>98</v>
      </c>
    </row>
    <row r="35" spans="2:3" ht="33" x14ac:dyDescent="0.3">
      <c r="B35" s="84" t="s">
        <v>99</v>
      </c>
      <c r="C35" s="24" t="s">
        <v>100</v>
      </c>
    </row>
    <row r="36" spans="2:3" ht="49.5" x14ac:dyDescent="0.3">
      <c r="B36" s="84" t="s">
        <v>101</v>
      </c>
      <c r="C36" s="24" t="s">
        <v>102</v>
      </c>
    </row>
    <row r="37" spans="2:3" ht="49.5" x14ac:dyDescent="0.3">
      <c r="B37" s="84" t="s">
        <v>103</v>
      </c>
      <c r="C37" s="24" t="s">
        <v>104</v>
      </c>
    </row>
    <row r="38" spans="2:3" ht="49.5" x14ac:dyDescent="0.3">
      <c r="B38" s="85" t="s">
        <v>105</v>
      </c>
      <c r="C38" s="81" t="s">
        <v>106</v>
      </c>
    </row>
    <row r="39" spans="2:3" ht="82.5" customHeight="1" x14ac:dyDescent="0.3">
      <c r="B39" s="85" t="s">
        <v>107</v>
      </c>
      <c r="C39" s="81" t="s">
        <v>108</v>
      </c>
    </row>
  </sheetData>
  <sortState ref="B5:C37">
    <sortCondition ref="B5:B37"/>
  </sortState>
  <mergeCells count="1">
    <mergeCell ref="B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O352"/>
  <sheetViews>
    <sheetView showGridLines="0" topLeftCell="A214" zoomScale="91" zoomScaleNormal="91" workbookViewId="0">
      <selection activeCell="J220" sqref="J220:J227"/>
    </sheetView>
  </sheetViews>
  <sheetFormatPr baseColWidth="10" defaultColWidth="3.140625" defaultRowHeight="0" customHeight="1" zeroHeight="1" x14ac:dyDescent="0.3"/>
  <cols>
    <col min="1" max="1" width="11.7109375" style="15" customWidth="1"/>
    <col min="2" max="2" width="3.5703125" style="105" hidden="1" customWidth="1"/>
    <col min="3" max="3" width="42.5703125" style="15" customWidth="1"/>
    <col min="4" max="4" width="36.140625" style="15" customWidth="1"/>
    <col min="5" max="5" width="41.140625" style="15" customWidth="1"/>
    <col min="6" max="6" width="8.140625" style="15" customWidth="1"/>
    <col min="7" max="7" width="3.5703125" style="15" bestFit="1" customWidth="1"/>
    <col min="8" max="9" width="39.85546875" style="15" customWidth="1"/>
    <col min="10" max="10" width="7.42578125" style="15" customWidth="1"/>
    <col min="11" max="11" width="19" style="15" customWidth="1"/>
    <col min="12" max="12" width="3.140625" style="48" customWidth="1"/>
    <col min="13" max="13" width="7.28515625" style="48" customWidth="1"/>
    <col min="14" max="14" width="12.28515625" style="80" customWidth="1"/>
    <col min="15" max="15" width="12.28515625" style="104" customWidth="1"/>
    <col min="16" max="16364" width="3.140625" style="15" customWidth="1"/>
    <col min="16365" max="16384" width="3.140625" style="15"/>
  </cols>
  <sheetData>
    <row r="4" spans="5:10" ht="9.9499999999999993" customHeight="1" x14ac:dyDescent="0.3"/>
    <row r="5" spans="5:10" ht="9.9499999999999993" customHeight="1" x14ac:dyDescent="0.3"/>
    <row r="6" spans="5:10" ht="9.9499999999999993" customHeight="1" x14ac:dyDescent="0.3"/>
    <row r="7" spans="5:10" ht="9.9499999999999993" customHeight="1" x14ac:dyDescent="0.3"/>
    <row r="8" spans="5:10" ht="9.9499999999999993" customHeight="1" x14ac:dyDescent="0.3"/>
    <row r="9" spans="5:10" ht="9.9499999999999993" customHeight="1" x14ac:dyDescent="0.3"/>
    <row r="10" spans="5:10" ht="9.9499999999999993" customHeight="1" x14ac:dyDescent="0.3"/>
    <row r="11" spans="5:10" ht="9.9499999999999993" customHeight="1" x14ac:dyDescent="0.3"/>
    <row r="12" spans="5:10" ht="9.9499999999999993" customHeight="1" x14ac:dyDescent="0.3"/>
    <row r="13" spans="5:10" ht="9.9499999999999993" customHeight="1" x14ac:dyDescent="0.3">
      <c r="E13" s="266"/>
      <c r="F13" s="267"/>
      <c r="G13" s="267"/>
      <c r="H13" s="267"/>
      <c r="I13" s="267"/>
      <c r="J13" s="267"/>
    </row>
    <row r="14" spans="5:10" ht="31.5" customHeight="1" x14ac:dyDescent="0.3">
      <c r="E14" s="266"/>
      <c r="F14" s="267"/>
      <c r="G14" s="267"/>
      <c r="H14" s="267"/>
      <c r="I14" s="267"/>
      <c r="J14" s="267"/>
    </row>
    <row r="15" spans="5:10" ht="24.75" customHeight="1" x14ac:dyDescent="0.3">
      <c r="E15" s="55"/>
      <c r="F15" s="268"/>
      <c r="G15" s="268"/>
      <c r="H15" s="268"/>
      <c r="I15" s="268"/>
      <c r="J15" s="268"/>
    </row>
    <row r="16" spans="5:10" ht="20.25" customHeight="1" x14ac:dyDescent="0.3"/>
    <row r="17" spans="1:15" ht="9.9499999999999993" customHeight="1" x14ac:dyDescent="0.3"/>
    <row r="18" spans="1:15" ht="20.100000000000001" customHeight="1" x14ac:dyDescent="0.3">
      <c r="C18" s="307" t="s">
        <v>109</v>
      </c>
      <c r="D18" s="307"/>
      <c r="E18" s="307"/>
      <c r="F18" s="307"/>
      <c r="G18" s="307"/>
      <c r="H18" s="307"/>
      <c r="I18" s="307"/>
      <c r="J18" s="307"/>
      <c r="K18" s="307"/>
    </row>
    <row r="19" spans="1:15" ht="60" customHeight="1" x14ac:dyDescent="0.3">
      <c r="C19" s="308" t="s">
        <v>110</v>
      </c>
      <c r="D19" s="308"/>
      <c r="E19" s="308"/>
      <c r="F19" s="308"/>
      <c r="G19" s="308"/>
      <c r="H19" s="308"/>
      <c r="I19" s="308"/>
      <c r="J19" s="308"/>
      <c r="K19" s="308"/>
    </row>
    <row r="20" spans="1:15" ht="9.9499999999999993" customHeight="1" thickBot="1" x14ac:dyDescent="0.35">
      <c r="B20" s="106"/>
      <c r="C20" s="16"/>
      <c r="D20" s="16"/>
      <c r="F20" s="17"/>
    </row>
    <row r="21" spans="1:15" ht="36.75" customHeight="1" x14ac:dyDescent="0.3">
      <c r="B21" s="251" t="s">
        <v>111</v>
      </c>
      <c r="C21" s="293" t="s">
        <v>112</v>
      </c>
      <c r="D21" s="232" t="s">
        <v>113</v>
      </c>
      <c r="E21" s="306" t="s">
        <v>114</v>
      </c>
      <c r="F21" s="256" t="s">
        <v>115</v>
      </c>
      <c r="G21" s="272" t="s">
        <v>116</v>
      </c>
      <c r="H21" s="273"/>
      <c r="I21" s="274"/>
      <c r="J21" s="256" t="s">
        <v>117</v>
      </c>
      <c r="K21" s="256" t="s">
        <v>118</v>
      </c>
      <c r="L21" s="242"/>
      <c r="M21" s="242"/>
      <c r="N21" s="201"/>
      <c r="O21" s="203"/>
    </row>
    <row r="22" spans="1:15" ht="29.25" customHeight="1" x14ac:dyDescent="0.3">
      <c r="B22" s="251"/>
      <c r="C22" s="293"/>
      <c r="D22" s="233"/>
      <c r="E22" s="233"/>
      <c r="F22" s="256"/>
      <c r="G22" s="269" t="s">
        <v>13</v>
      </c>
      <c r="H22" s="271" t="s">
        <v>15</v>
      </c>
      <c r="I22" s="232" t="s">
        <v>17</v>
      </c>
      <c r="J22" s="256"/>
      <c r="K22" s="256"/>
      <c r="L22" s="242"/>
      <c r="M22" s="242"/>
      <c r="N22" s="201"/>
      <c r="O22" s="203"/>
    </row>
    <row r="23" spans="1:15" ht="79.5" customHeight="1" x14ac:dyDescent="0.3">
      <c r="B23" s="252"/>
      <c r="C23" s="294"/>
      <c r="D23" s="233"/>
      <c r="E23" s="233"/>
      <c r="F23" s="257"/>
      <c r="G23" s="270"/>
      <c r="H23" s="232"/>
      <c r="I23" s="233"/>
      <c r="J23" s="257"/>
      <c r="K23" s="257"/>
      <c r="L23" s="242"/>
      <c r="M23" s="242"/>
      <c r="N23" s="201"/>
      <c r="O23" s="203"/>
    </row>
    <row r="24" spans="1:15" ht="92.25" customHeight="1" x14ac:dyDescent="0.3">
      <c r="A24" s="312" t="s">
        <v>119</v>
      </c>
      <c r="B24" s="250" t="str">
        <f>+LEFT(C24,3)</f>
        <v xml:space="preserve"> Ap</v>
      </c>
      <c r="C24" s="275" t="s">
        <v>120</v>
      </c>
      <c r="D24" s="275" t="s">
        <v>121</v>
      </c>
      <c r="E24" s="275" t="s">
        <v>122</v>
      </c>
      <c r="F24" s="302">
        <v>1</v>
      </c>
      <c r="G24" s="90">
        <v>1</v>
      </c>
      <c r="H24" s="134" t="s">
        <v>123</v>
      </c>
      <c r="I24" s="275" t="s">
        <v>124</v>
      </c>
      <c r="J24" s="302">
        <v>3</v>
      </c>
      <c r="K24" s="258"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240"/>
      <c r="M24" s="240"/>
      <c r="N24" s="191"/>
      <c r="O24" s="202"/>
    </row>
    <row r="25" spans="1:15" s="18" customFormat="1" ht="79.5" customHeight="1" x14ac:dyDescent="0.3">
      <c r="A25" s="312"/>
      <c r="B25" s="250"/>
      <c r="C25" s="275"/>
      <c r="D25" s="275"/>
      <c r="E25" s="275"/>
      <c r="F25" s="302"/>
      <c r="G25" s="90">
        <v>2</v>
      </c>
      <c r="H25" s="134" t="s">
        <v>125</v>
      </c>
      <c r="I25" s="275"/>
      <c r="J25" s="302"/>
      <c r="K25" s="258"/>
      <c r="L25" s="240"/>
      <c r="M25" s="240"/>
      <c r="N25" s="191"/>
      <c r="O25" s="202"/>
    </row>
    <row r="26" spans="1:15" s="18" customFormat="1" ht="75" customHeight="1" x14ac:dyDescent="0.3">
      <c r="A26" s="312"/>
      <c r="B26" s="250"/>
      <c r="C26" s="275"/>
      <c r="D26" s="275"/>
      <c r="E26" s="275"/>
      <c r="F26" s="302"/>
      <c r="G26" s="90">
        <v>3</v>
      </c>
      <c r="H26" s="134" t="s">
        <v>126</v>
      </c>
      <c r="I26" s="275"/>
      <c r="J26" s="302"/>
      <c r="K26" s="258"/>
      <c r="L26" s="240"/>
      <c r="M26" s="240"/>
      <c r="N26" s="191"/>
      <c r="O26" s="202"/>
    </row>
    <row r="27" spans="1:15" s="18" customFormat="1" ht="16.5" x14ac:dyDescent="0.3">
      <c r="A27" s="312"/>
      <c r="B27" s="250"/>
      <c r="C27" s="275"/>
      <c r="D27" s="275"/>
      <c r="E27" s="275"/>
      <c r="F27" s="302"/>
      <c r="G27" s="90">
        <v>4</v>
      </c>
      <c r="H27" s="91"/>
      <c r="I27" s="275"/>
      <c r="J27" s="302"/>
      <c r="K27" s="258"/>
      <c r="L27" s="240"/>
      <c r="M27" s="240"/>
      <c r="N27" s="191"/>
      <c r="O27" s="202"/>
    </row>
    <row r="28" spans="1:15" s="18" customFormat="1" ht="16.5" x14ac:dyDescent="0.3">
      <c r="A28" s="312"/>
      <c r="B28" s="250"/>
      <c r="C28" s="275"/>
      <c r="D28" s="275"/>
      <c r="E28" s="275"/>
      <c r="F28" s="302"/>
      <c r="G28" s="90">
        <v>5</v>
      </c>
      <c r="H28" s="91"/>
      <c r="I28" s="275"/>
      <c r="J28" s="302"/>
      <c r="K28" s="258"/>
      <c r="L28" s="240"/>
      <c r="M28" s="240"/>
      <c r="N28" s="191"/>
      <c r="O28" s="202"/>
    </row>
    <row r="29" spans="1:15" s="18" customFormat="1" ht="16.5" x14ac:dyDescent="0.3">
      <c r="A29" s="312"/>
      <c r="B29" s="250"/>
      <c r="C29" s="275"/>
      <c r="D29" s="275"/>
      <c r="E29" s="275"/>
      <c r="F29" s="302"/>
      <c r="G29" s="90">
        <v>6</v>
      </c>
      <c r="H29" s="91"/>
      <c r="I29" s="275"/>
      <c r="J29" s="302"/>
      <c r="K29" s="258"/>
      <c r="L29" s="240"/>
      <c r="M29" s="240"/>
      <c r="N29" s="191"/>
      <c r="O29" s="202"/>
    </row>
    <row r="30" spans="1:15" s="18" customFormat="1" ht="16.5" x14ac:dyDescent="0.3">
      <c r="A30" s="312"/>
      <c r="B30" s="250"/>
      <c r="C30" s="275"/>
      <c r="D30" s="275"/>
      <c r="E30" s="275"/>
      <c r="F30" s="302"/>
      <c r="G30" s="90">
        <v>7</v>
      </c>
      <c r="H30" s="91"/>
      <c r="I30" s="275"/>
      <c r="J30" s="302"/>
      <c r="K30" s="258"/>
      <c r="L30" s="240"/>
      <c r="M30" s="240"/>
      <c r="N30" s="191"/>
      <c r="O30" s="202"/>
    </row>
    <row r="31" spans="1:15" s="18" customFormat="1" ht="120" customHeight="1" x14ac:dyDescent="0.3">
      <c r="A31" s="312"/>
      <c r="B31" s="250"/>
      <c r="C31" s="275"/>
      <c r="D31" s="275"/>
      <c r="E31" s="275"/>
      <c r="F31" s="302"/>
      <c r="G31" s="90">
        <v>8</v>
      </c>
      <c r="H31" s="91"/>
      <c r="I31" s="275"/>
      <c r="J31" s="302"/>
      <c r="K31" s="258"/>
      <c r="L31" s="240"/>
      <c r="M31" s="240"/>
      <c r="N31" s="191"/>
      <c r="O31" s="202"/>
    </row>
    <row r="32" spans="1:15" s="18" customFormat="1" ht="16.5" customHeight="1" x14ac:dyDescent="0.3">
      <c r="B32" s="255" t="str">
        <f>+LEFT(C32,3)</f>
        <v>1.1</v>
      </c>
      <c r="C32" s="309" t="s">
        <v>127</v>
      </c>
      <c r="D32" s="313" t="s">
        <v>121</v>
      </c>
      <c r="E32" s="196" t="s">
        <v>305</v>
      </c>
      <c r="F32" s="310">
        <v>3</v>
      </c>
      <c r="G32" s="108">
        <v>1</v>
      </c>
      <c r="H32" s="109" t="s">
        <v>318</v>
      </c>
      <c r="I32" s="303" t="s">
        <v>319</v>
      </c>
      <c r="J32" s="193">
        <v>3</v>
      </c>
      <c r="K32" s="314" t="str">
        <f t="shared" ref="K32" si="0">+IF(OR(ISBLANK(F32),ISBLANK(J32)),"",IF(OR(AND(F32=1,J32=1),AND(F32=1,J32=2),AND(F32=1,J32=3)),"Deficiencia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40">
        <f>+IF(K32="",0,IF(K32="Deficiencia de control mayor (diseño y ejecución)",4,IF(K32="Deficiencia de control (diseño o ejecución)",20,IF(K32="Oportunidad de mejora",40,60))))</f>
        <v>60</v>
      </c>
      <c r="M32" s="240">
        <v>4.5870000000000001E-2</v>
      </c>
      <c r="N32" s="191">
        <f>+L32+M32</f>
        <v>60.045870000000001</v>
      </c>
      <c r="O32" s="202"/>
    </row>
    <row r="33" spans="2:15" s="18" customFormat="1" ht="16.5" x14ac:dyDescent="0.3">
      <c r="B33" s="244"/>
      <c r="C33" s="291"/>
      <c r="D33" s="296"/>
      <c r="E33" s="196"/>
      <c r="F33" s="310"/>
      <c r="G33" s="110">
        <v>2</v>
      </c>
      <c r="H33" s="111"/>
      <c r="I33" s="304"/>
      <c r="J33" s="193"/>
      <c r="K33" s="260"/>
      <c r="L33" s="240"/>
      <c r="M33" s="240"/>
      <c r="N33" s="191"/>
      <c r="O33" s="202"/>
    </row>
    <row r="34" spans="2:15" s="18" customFormat="1" ht="16.5" x14ac:dyDescent="0.3">
      <c r="B34" s="244"/>
      <c r="C34" s="291"/>
      <c r="D34" s="296"/>
      <c r="E34" s="196"/>
      <c r="F34" s="310"/>
      <c r="G34" s="110">
        <v>3</v>
      </c>
      <c r="H34" s="112"/>
      <c r="I34" s="304"/>
      <c r="J34" s="193"/>
      <c r="K34" s="260"/>
      <c r="L34" s="240"/>
      <c r="M34" s="240"/>
      <c r="N34" s="191"/>
      <c r="O34" s="202"/>
    </row>
    <row r="35" spans="2:15" s="18" customFormat="1" ht="16.5" x14ac:dyDescent="0.3">
      <c r="B35" s="244"/>
      <c r="C35" s="291"/>
      <c r="D35" s="296"/>
      <c r="E35" s="196"/>
      <c r="F35" s="310"/>
      <c r="G35" s="110">
        <v>4</v>
      </c>
      <c r="H35" s="112"/>
      <c r="I35" s="304"/>
      <c r="J35" s="193"/>
      <c r="K35" s="260"/>
      <c r="L35" s="240"/>
      <c r="M35" s="240"/>
      <c r="N35" s="191"/>
      <c r="O35" s="202"/>
    </row>
    <row r="36" spans="2:15" s="18" customFormat="1" ht="16.5" x14ac:dyDescent="0.3">
      <c r="B36" s="244"/>
      <c r="C36" s="291"/>
      <c r="D36" s="296"/>
      <c r="E36" s="196"/>
      <c r="F36" s="310"/>
      <c r="G36" s="110">
        <v>5</v>
      </c>
      <c r="H36" s="112"/>
      <c r="I36" s="304"/>
      <c r="J36" s="193"/>
      <c r="K36" s="260"/>
      <c r="L36" s="240"/>
      <c r="M36" s="240"/>
      <c r="N36" s="191"/>
      <c r="O36" s="202"/>
    </row>
    <row r="37" spans="2:15" s="18" customFormat="1" ht="16.5" x14ac:dyDescent="0.3">
      <c r="B37" s="244"/>
      <c r="C37" s="291"/>
      <c r="D37" s="296"/>
      <c r="E37" s="196"/>
      <c r="F37" s="310"/>
      <c r="G37" s="110">
        <v>6</v>
      </c>
      <c r="H37" s="112"/>
      <c r="I37" s="304"/>
      <c r="J37" s="193"/>
      <c r="K37" s="260"/>
      <c r="L37" s="240"/>
      <c r="M37" s="240"/>
      <c r="N37" s="191"/>
      <c r="O37" s="202"/>
    </row>
    <row r="38" spans="2:15" s="18" customFormat="1" ht="16.5" x14ac:dyDescent="0.3">
      <c r="B38" s="244"/>
      <c r="C38" s="291"/>
      <c r="D38" s="296"/>
      <c r="E38" s="196"/>
      <c r="F38" s="310"/>
      <c r="G38" s="110">
        <v>7</v>
      </c>
      <c r="H38" s="112"/>
      <c r="I38" s="304"/>
      <c r="J38" s="193"/>
      <c r="K38" s="260"/>
      <c r="L38" s="240"/>
      <c r="M38" s="240"/>
      <c r="N38" s="191"/>
      <c r="O38" s="202"/>
    </row>
    <row r="39" spans="2:15" s="18" customFormat="1" ht="17.25" thickBot="1" x14ac:dyDescent="0.35">
      <c r="B39" s="245"/>
      <c r="C39" s="292"/>
      <c r="D39" s="297"/>
      <c r="E39" s="197"/>
      <c r="F39" s="311"/>
      <c r="G39" s="113">
        <v>8</v>
      </c>
      <c r="H39" s="114"/>
      <c r="I39" s="305"/>
      <c r="J39" s="194"/>
      <c r="K39" s="261"/>
      <c r="L39" s="240"/>
      <c r="M39" s="240"/>
      <c r="N39" s="191"/>
      <c r="O39" s="202"/>
    </row>
    <row r="40" spans="2:15" s="18" customFormat="1" ht="16.5" customHeight="1" x14ac:dyDescent="0.3">
      <c r="B40" s="243" t="str">
        <f>+LEFT(C40,3)</f>
        <v>1.2</v>
      </c>
      <c r="C40" s="290" t="s">
        <v>128</v>
      </c>
      <c r="D40" s="295" t="s">
        <v>121</v>
      </c>
      <c r="E40" s="195" t="s">
        <v>306</v>
      </c>
      <c r="F40" s="212">
        <v>3</v>
      </c>
      <c r="G40" s="108">
        <v>1</v>
      </c>
      <c r="H40" s="141" t="s">
        <v>320</v>
      </c>
      <c r="I40" s="195" t="s">
        <v>321</v>
      </c>
      <c r="J40" s="227">
        <v>2</v>
      </c>
      <c r="K40" s="259" t="str">
        <f t="shared" ref="K40" si="1">+IF(OR(ISBLANK(F40),ISBLANK(J40)),"",IF(OR(AND(F40=1,J40=1),AND(F40=1,J40=2),AND(F40=1,J40=3)),"Deficiencia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240">
        <f t="shared" ref="L40" si="2">+IF(K40="",0,IF(K40="Deficiencia de control mayor (diseño y ejecución)",4,IF(K40="Deficiencia de control (diseño o ejecución)",20,IF(K40="Oportunidad de mejora",40,60))))</f>
        <v>20</v>
      </c>
      <c r="M40" s="240">
        <v>5.5690000000000003E-2</v>
      </c>
      <c r="N40" s="191">
        <f t="shared" ref="N40" si="3">+L40+M40</f>
        <v>20.055689999999998</v>
      </c>
      <c r="O40" s="202"/>
    </row>
    <row r="41" spans="2:15" s="18" customFormat="1" ht="16.5" x14ac:dyDescent="0.3">
      <c r="B41" s="244"/>
      <c r="C41" s="291"/>
      <c r="D41" s="296"/>
      <c r="E41" s="196"/>
      <c r="F41" s="213"/>
      <c r="G41" s="110">
        <v>2</v>
      </c>
      <c r="H41" s="132"/>
      <c r="I41" s="196"/>
      <c r="J41" s="228"/>
      <c r="K41" s="260"/>
      <c r="L41" s="240"/>
      <c r="M41" s="240"/>
      <c r="N41" s="191"/>
      <c r="O41" s="202"/>
    </row>
    <row r="42" spans="2:15" s="18" customFormat="1" ht="16.5" x14ac:dyDescent="0.3">
      <c r="B42" s="244"/>
      <c r="C42" s="291"/>
      <c r="D42" s="296"/>
      <c r="E42" s="196"/>
      <c r="F42" s="213"/>
      <c r="G42" s="110">
        <v>3</v>
      </c>
      <c r="H42" s="132"/>
      <c r="I42" s="196"/>
      <c r="J42" s="228"/>
      <c r="K42" s="260"/>
      <c r="L42" s="240"/>
      <c r="M42" s="240"/>
      <c r="N42" s="191"/>
      <c r="O42" s="202"/>
    </row>
    <row r="43" spans="2:15" s="18" customFormat="1" ht="16.5" x14ac:dyDescent="0.3">
      <c r="B43" s="244"/>
      <c r="C43" s="291"/>
      <c r="D43" s="296"/>
      <c r="E43" s="196"/>
      <c r="F43" s="213"/>
      <c r="G43" s="110">
        <v>4</v>
      </c>
      <c r="H43" s="132"/>
      <c r="I43" s="196"/>
      <c r="J43" s="228"/>
      <c r="K43" s="260"/>
      <c r="L43" s="240"/>
      <c r="M43" s="240"/>
      <c r="N43" s="191"/>
      <c r="O43" s="202"/>
    </row>
    <row r="44" spans="2:15" s="18" customFormat="1" ht="16.5" x14ac:dyDescent="0.3">
      <c r="B44" s="244"/>
      <c r="C44" s="291"/>
      <c r="D44" s="296"/>
      <c r="E44" s="196"/>
      <c r="F44" s="213"/>
      <c r="G44" s="110">
        <v>5</v>
      </c>
      <c r="H44" s="132"/>
      <c r="I44" s="196"/>
      <c r="J44" s="228"/>
      <c r="K44" s="260"/>
      <c r="L44" s="240"/>
      <c r="M44" s="240"/>
      <c r="N44" s="191"/>
      <c r="O44" s="202"/>
    </row>
    <row r="45" spans="2:15" s="18" customFormat="1" ht="16.5" x14ac:dyDescent="0.3">
      <c r="B45" s="244"/>
      <c r="C45" s="291"/>
      <c r="D45" s="296"/>
      <c r="E45" s="196"/>
      <c r="F45" s="213"/>
      <c r="G45" s="110">
        <v>6</v>
      </c>
      <c r="H45" s="132"/>
      <c r="I45" s="196"/>
      <c r="J45" s="228"/>
      <c r="K45" s="260"/>
      <c r="L45" s="240"/>
      <c r="M45" s="240"/>
      <c r="N45" s="191"/>
      <c r="O45" s="202"/>
    </row>
    <row r="46" spans="2:15" s="18" customFormat="1" ht="16.5" x14ac:dyDescent="0.3">
      <c r="B46" s="244"/>
      <c r="C46" s="291"/>
      <c r="D46" s="296"/>
      <c r="E46" s="196"/>
      <c r="F46" s="213"/>
      <c r="G46" s="110">
        <v>7</v>
      </c>
      <c r="H46" s="132"/>
      <c r="I46" s="196"/>
      <c r="J46" s="228"/>
      <c r="K46" s="260"/>
      <c r="L46" s="240"/>
      <c r="M46" s="240"/>
      <c r="N46" s="191"/>
      <c r="O46" s="202"/>
    </row>
    <row r="47" spans="2:15" s="18" customFormat="1" ht="17.25" thickBot="1" x14ac:dyDescent="0.35">
      <c r="B47" s="245"/>
      <c r="C47" s="292"/>
      <c r="D47" s="297"/>
      <c r="E47" s="197"/>
      <c r="F47" s="214"/>
      <c r="G47" s="115">
        <v>8</v>
      </c>
      <c r="H47" s="133"/>
      <c r="I47" s="197"/>
      <c r="J47" s="229"/>
      <c r="K47" s="261"/>
      <c r="L47" s="240"/>
      <c r="M47" s="240"/>
      <c r="N47" s="191"/>
      <c r="O47" s="202"/>
    </row>
    <row r="48" spans="2:15" s="18" customFormat="1" ht="16.5" customHeight="1" x14ac:dyDescent="0.3">
      <c r="B48" s="243" t="str">
        <f>+LEFT(C48,3)</f>
        <v>1.3</v>
      </c>
      <c r="C48" s="298" t="s">
        <v>129</v>
      </c>
      <c r="D48" s="295" t="s">
        <v>130</v>
      </c>
      <c r="E48" s="301" t="s">
        <v>317</v>
      </c>
      <c r="F48" s="212">
        <v>3</v>
      </c>
      <c r="G48" s="116">
        <v>1</v>
      </c>
      <c r="H48" s="131" t="s">
        <v>322</v>
      </c>
      <c r="I48" s="195" t="s">
        <v>323</v>
      </c>
      <c r="J48" s="227">
        <v>2</v>
      </c>
      <c r="K48" s="259" t="str">
        <f t="shared" ref="K48" si="4">+IF(OR(ISBLANK(F48),ISBLANK(J48)),"",IF(OR(AND(F48=1,J48=1),AND(F48=1,J48=2),AND(F48=1,J48=3)),"Deficiencia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240">
        <f t="shared" ref="L48" si="5">+IF(K48="",0,IF(K48="Deficiencia de control mayor (diseño y ejecución)",4,IF(K48="Deficiencia de control (diseño o ejecución)",20,IF(K48="Oportunidad de mejora",40,60))))</f>
        <v>20</v>
      </c>
      <c r="M48" s="240">
        <v>6.6895999999999997E-2</v>
      </c>
      <c r="N48" s="198">
        <f t="shared" ref="N48" si="6">+L48+M48</f>
        <v>20.066896</v>
      </c>
      <c r="O48" s="204"/>
    </row>
    <row r="49" spans="2:15" s="18" customFormat="1" ht="16.5" x14ac:dyDescent="0.3">
      <c r="B49" s="244"/>
      <c r="C49" s="299"/>
      <c r="D49" s="296"/>
      <c r="E49" s="213"/>
      <c r="F49" s="213"/>
      <c r="G49" s="110">
        <v>2</v>
      </c>
      <c r="H49" s="132"/>
      <c r="I49" s="196"/>
      <c r="J49" s="228"/>
      <c r="K49" s="260"/>
      <c r="L49" s="240"/>
      <c r="M49" s="240"/>
      <c r="N49" s="198"/>
      <c r="O49" s="204"/>
    </row>
    <row r="50" spans="2:15" s="18" customFormat="1" ht="16.5" x14ac:dyDescent="0.3">
      <c r="B50" s="244"/>
      <c r="C50" s="299"/>
      <c r="D50" s="296"/>
      <c r="E50" s="213"/>
      <c r="F50" s="213"/>
      <c r="G50" s="110">
        <v>3</v>
      </c>
      <c r="H50" s="132"/>
      <c r="I50" s="196"/>
      <c r="J50" s="228"/>
      <c r="K50" s="260"/>
      <c r="L50" s="240"/>
      <c r="M50" s="240"/>
      <c r="N50" s="198"/>
      <c r="O50" s="204"/>
    </row>
    <row r="51" spans="2:15" s="18" customFormat="1" ht="16.5" x14ac:dyDescent="0.3">
      <c r="B51" s="244"/>
      <c r="C51" s="299"/>
      <c r="D51" s="296"/>
      <c r="E51" s="213"/>
      <c r="F51" s="213"/>
      <c r="G51" s="110">
        <v>4</v>
      </c>
      <c r="H51" s="132"/>
      <c r="I51" s="196"/>
      <c r="J51" s="228"/>
      <c r="K51" s="260"/>
      <c r="L51" s="240"/>
      <c r="M51" s="240"/>
      <c r="N51" s="198"/>
      <c r="O51" s="204"/>
    </row>
    <row r="52" spans="2:15" s="18" customFormat="1" ht="16.5" x14ac:dyDescent="0.3">
      <c r="B52" s="244"/>
      <c r="C52" s="299"/>
      <c r="D52" s="296"/>
      <c r="E52" s="213"/>
      <c r="F52" s="213"/>
      <c r="G52" s="110">
        <v>5</v>
      </c>
      <c r="H52" s="132"/>
      <c r="I52" s="196"/>
      <c r="J52" s="228"/>
      <c r="K52" s="260"/>
      <c r="L52" s="240"/>
      <c r="M52" s="240"/>
      <c r="N52" s="198"/>
      <c r="O52" s="204"/>
    </row>
    <row r="53" spans="2:15" s="18" customFormat="1" ht="16.5" x14ac:dyDescent="0.3">
      <c r="B53" s="244"/>
      <c r="C53" s="299"/>
      <c r="D53" s="296"/>
      <c r="E53" s="213"/>
      <c r="F53" s="213"/>
      <c r="G53" s="110">
        <v>6</v>
      </c>
      <c r="H53" s="132"/>
      <c r="I53" s="196"/>
      <c r="J53" s="228"/>
      <c r="K53" s="260"/>
      <c r="L53" s="240"/>
      <c r="M53" s="240"/>
      <c r="N53" s="198"/>
      <c r="O53" s="204"/>
    </row>
    <row r="54" spans="2:15" s="18" customFormat="1" ht="16.5" x14ac:dyDescent="0.3">
      <c r="B54" s="244"/>
      <c r="C54" s="299"/>
      <c r="D54" s="296"/>
      <c r="E54" s="213"/>
      <c r="F54" s="213"/>
      <c r="G54" s="110">
        <v>7</v>
      </c>
      <c r="H54" s="132"/>
      <c r="I54" s="196"/>
      <c r="J54" s="228"/>
      <c r="K54" s="260"/>
      <c r="L54" s="240"/>
      <c r="M54" s="240"/>
      <c r="N54" s="198"/>
      <c r="O54" s="204"/>
    </row>
    <row r="55" spans="2:15" s="18" customFormat="1" ht="17.25" thickBot="1" x14ac:dyDescent="0.35">
      <c r="B55" s="245"/>
      <c r="C55" s="300"/>
      <c r="D55" s="297"/>
      <c r="E55" s="214"/>
      <c r="F55" s="214"/>
      <c r="G55" s="115">
        <v>8</v>
      </c>
      <c r="H55" s="133"/>
      <c r="I55" s="197"/>
      <c r="J55" s="229"/>
      <c r="K55" s="261"/>
      <c r="L55" s="240"/>
      <c r="M55" s="240"/>
      <c r="N55" s="198"/>
      <c r="O55" s="204"/>
    </row>
    <row r="56" spans="2:15" s="18" customFormat="1" ht="16.5" customHeight="1" x14ac:dyDescent="0.3">
      <c r="B56" s="243" t="str">
        <f>+LEFT(C56,3)</f>
        <v>1.4</v>
      </c>
      <c r="C56" s="206" t="s">
        <v>131</v>
      </c>
      <c r="D56" s="209" t="s">
        <v>132</v>
      </c>
      <c r="E56" s="195" t="s">
        <v>307</v>
      </c>
      <c r="F56" s="212">
        <v>2</v>
      </c>
      <c r="G56" s="116">
        <v>1</v>
      </c>
      <c r="H56" s="141" t="s">
        <v>325</v>
      </c>
      <c r="I56" s="195" t="s">
        <v>324</v>
      </c>
      <c r="J56" s="192">
        <v>2</v>
      </c>
      <c r="K56" s="215" t="str">
        <f t="shared" ref="K56" si="7">+IF(OR(ISBLANK(F56),ISBLANK(J56)),"",IF(OR(AND(F56=1,J56=1),AND(F56=1,J56=2),AND(F56=1,J56=3)),"Deficiencia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240">
        <f t="shared" ref="L56" si="8">+IF(K56="",0,IF(K56="Deficiencia de control mayor (diseño y ejecución)",4,IF(K56="Deficiencia de control (diseño o ejecución)",20,IF(K56="Oportunidad de mejora",40,60))))</f>
        <v>20</v>
      </c>
      <c r="M56" s="240">
        <v>6.6909999999999997E-2</v>
      </c>
      <c r="N56" s="199">
        <f>+L56+M56</f>
        <v>20.06691</v>
      </c>
      <c r="O56" s="205"/>
    </row>
    <row r="57" spans="2:15" s="18" customFormat="1" ht="16.5" x14ac:dyDescent="0.3">
      <c r="B57" s="244"/>
      <c r="C57" s="207"/>
      <c r="D57" s="210"/>
      <c r="E57" s="196"/>
      <c r="F57" s="213"/>
      <c r="G57" s="110">
        <v>2</v>
      </c>
      <c r="H57" s="132"/>
      <c r="I57" s="196"/>
      <c r="J57" s="193"/>
      <c r="K57" s="216"/>
      <c r="L57" s="240"/>
      <c r="M57" s="240"/>
      <c r="N57" s="199"/>
      <c r="O57" s="205"/>
    </row>
    <row r="58" spans="2:15" s="18" customFormat="1" ht="16.5" x14ac:dyDescent="0.3">
      <c r="B58" s="244"/>
      <c r="C58" s="207"/>
      <c r="D58" s="210"/>
      <c r="E58" s="196"/>
      <c r="F58" s="213"/>
      <c r="G58" s="110">
        <v>3</v>
      </c>
      <c r="H58" s="132"/>
      <c r="I58" s="196"/>
      <c r="J58" s="193"/>
      <c r="K58" s="216"/>
      <c r="L58" s="240"/>
      <c r="M58" s="240"/>
      <c r="N58" s="199"/>
      <c r="O58" s="205"/>
    </row>
    <row r="59" spans="2:15" s="18" customFormat="1" ht="16.5" x14ac:dyDescent="0.3">
      <c r="B59" s="244"/>
      <c r="C59" s="207"/>
      <c r="D59" s="210"/>
      <c r="E59" s="196"/>
      <c r="F59" s="213"/>
      <c r="G59" s="110">
        <v>4</v>
      </c>
      <c r="H59" s="132"/>
      <c r="I59" s="196"/>
      <c r="J59" s="193"/>
      <c r="K59" s="216"/>
      <c r="L59" s="240"/>
      <c r="M59" s="240"/>
      <c r="N59" s="199"/>
      <c r="O59" s="205"/>
    </row>
    <row r="60" spans="2:15" s="18" customFormat="1" ht="16.5" x14ac:dyDescent="0.3">
      <c r="B60" s="244"/>
      <c r="C60" s="207"/>
      <c r="D60" s="210"/>
      <c r="E60" s="196"/>
      <c r="F60" s="213"/>
      <c r="G60" s="110">
        <v>5</v>
      </c>
      <c r="H60" s="132"/>
      <c r="I60" s="196"/>
      <c r="J60" s="193"/>
      <c r="K60" s="216"/>
      <c r="L60" s="240"/>
      <c r="M60" s="240"/>
      <c r="N60" s="199"/>
      <c r="O60" s="205"/>
    </row>
    <row r="61" spans="2:15" s="18" customFormat="1" ht="16.5" x14ac:dyDescent="0.3">
      <c r="B61" s="244"/>
      <c r="C61" s="207"/>
      <c r="D61" s="210"/>
      <c r="E61" s="196"/>
      <c r="F61" s="213"/>
      <c r="G61" s="110">
        <v>6</v>
      </c>
      <c r="H61" s="132"/>
      <c r="I61" s="196"/>
      <c r="J61" s="193"/>
      <c r="K61" s="216"/>
      <c r="L61" s="240"/>
      <c r="M61" s="240"/>
      <c r="N61" s="199"/>
      <c r="O61" s="205"/>
    </row>
    <row r="62" spans="2:15" s="18" customFormat="1" ht="16.5" x14ac:dyDescent="0.3">
      <c r="B62" s="244"/>
      <c r="C62" s="207"/>
      <c r="D62" s="210"/>
      <c r="E62" s="196"/>
      <c r="F62" s="213"/>
      <c r="G62" s="110">
        <v>7</v>
      </c>
      <c r="H62" s="132"/>
      <c r="I62" s="196"/>
      <c r="J62" s="193"/>
      <c r="K62" s="216"/>
      <c r="L62" s="240"/>
      <c r="M62" s="240"/>
      <c r="N62" s="199"/>
      <c r="O62" s="205"/>
    </row>
    <row r="63" spans="2:15" s="18" customFormat="1" ht="17.25" thickBot="1" x14ac:dyDescent="0.35">
      <c r="B63" s="245"/>
      <c r="C63" s="208"/>
      <c r="D63" s="211"/>
      <c r="E63" s="197"/>
      <c r="F63" s="214"/>
      <c r="G63" s="115">
        <v>8</v>
      </c>
      <c r="H63" s="133"/>
      <c r="I63" s="197"/>
      <c r="J63" s="194"/>
      <c r="K63" s="217"/>
      <c r="L63" s="240"/>
      <c r="M63" s="240"/>
      <c r="N63" s="199"/>
      <c r="O63" s="205"/>
    </row>
    <row r="64" spans="2:15" ht="16.5" customHeight="1" x14ac:dyDescent="0.3">
      <c r="B64" s="243" t="str">
        <f>+LEFT(C64,3)</f>
        <v>1.5</v>
      </c>
      <c r="C64" s="224" t="s">
        <v>133</v>
      </c>
      <c r="D64" s="295" t="s">
        <v>134</v>
      </c>
      <c r="E64" s="195" t="s">
        <v>326</v>
      </c>
      <c r="F64" s="212">
        <v>2</v>
      </c>
      <c r="G64" s="116">
        <v>1</v>
      </c>
      <c r="H64" s="141" t="s">
        <v>328</v>
      </c>
      <c r="I64" s="195" t="s">
        <v>327</v>
      </c>
      <c r="J64" s="227">
        <v>2</v>
      </c>
      <c r="K64" s="259" t="str">
        <f t="shared" ref="K64" si="9">+IF(OR(ISBLANK(F64),ISBLANK(J64)),"",IF(OR(AND(F64=1,J64=1),AND(F64=1,J64=2),AND(F64=1,J64=3)),"Deficiencia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240">
        <f t="shared" ref="L64" si="10">+IF(K64="",0,IF(K64="Deficiencia de control mayor (diseño y ejecución)",4,IF(K64="Deficiencia de control (diseño o ejecución)",20,IF(K64="Oportunidad de mejora",40,60))))</f>
        <v>20</v>
      </c>
      <c r="M64" s="240">
        <v>7.3568999999999996E-2</v>
      </c>
      <c r="N64" s="191">
        <f t="shared" ref="N64" si="11">+L64+M64</f>
        <v>20.073568999999999</v>
      </c>
      <c r="O64" s="202"/>
    </row>
    <row r="65" spans="2:15" s="18" customFormat="1" ht="16.5" x14ac:dyDescent="0.3">
      <c r="B65" s="244"/>
      <c r="C65" s="225"/>
      <c r="D65" s="296"/>
      <c r="E65" s="196"/>
      <c r="F65" s="213"/>
      <c r="G65" s="110">
        <v>2</v>
      </c>
      <c r="H65" s="132"/>
      <c r="I65" s="196"/>
      <c r="J65" s="228"/>
      <c r="K65" s="260"/>
      <c r="L65" s="240"/>
      <c r="M65" s="240"/>
      <c r="N65" s="191"/>
      <c r="O65" s="202"/>
    </row>
    <row r="66" spans="2:15" s="18" customFormat="1" ht="16.5" x14ac:dyDescent="0.3">
      <c r="B66" s="244"/>
      <c r="C66" s="225"/>
      <c r="D66" s="296"/>
      <c r="E66" s="196"/>
      <c r="F66" s="213"/>
      <c r="G66" s="110">
        <v>3</v>
      </c>
      <c r="H66" s="132"/>
      <c r="I66" s="196"/>
      <c r="J66" s="228"/>
      <c r="K66" s="260"/>
      <c r="L66" s="240"/>
      <c r="M66" s="240"/>
      <c r="N66" s="191"/>
      <c r="O66" s="202"/>
    </row>
    <row r="67" spans="2:15" s="18" customFormat="1" ht="16.5" x14ac:dyDescent="0.3">
      <c r="B67" s="244"/>
      <c r="C67" s="225"/>
      <c r="D67" s="296"/>
      <c r="E67" s="196"/>
      <c r="F67" s="213"/>
      <c r="G67" s="110">
        <v>4</v>
      </c>
      <c r="H67" s="132"/>
      <c r="I67" s="196"/>
      <c r="J67" s="228"/>
      <c r="K67" s="260"/>
      <c r="L67" s="240"/>
      <c r="M67" s="240"/>
      <c r="N67" s="191"/>
      <c r="O67" s="202"/>
    </row>
    <row r="68" spans="2:15" s="18" customFormat="1" ht="16.5" x14ac:dyDescent="0.3">
      <c r="B68" s="244"/>
      <c r="C68" s="225"/>
      <c r="D68" s="296"/>
      <c r="E68" s="196"/>
      <c r="F68" s="213"/>
      <c r="G68" s="110">
        <v>5</v>
      </c>
      <c r="H68" s="132"/>
      <c r="I68" s="196"/>
      <c r="J68" s="228"/>
      <c r="K68" s="260"/>
      <c r="L68" s="240"/>
      <c r="M68" s="240"/>
      <c r="N68" s="191"/>
      <c r="O68" s="202"/>
    </row>
    <row r="69" spans="2:15" s="18" customFormat="1" ht="16.5" x14ac:dyDescent="0.3">
      <c r="B69" s="244"/>
      <c r="C69" s="225"/>
      <c r="D69" s="296"/>
      <c r="E69" s="196"/>
      <c r="F69" s="213"/>
      <c r="G69" s="110">
        <v>6</v>
      </c>
      <c r="H69" s="132"/>
      <c r="I69" s="196"/>
      <c r="J69" s="228"/>
      <c r="K69" s="260"/>
      <c r="L69" s="240"/>
      <c r="M69" s="240"/>
      <c r="N69" s="191"/>
      <c r="O69" s="202"/>
    </row>
    <row r="70" spans="2:15" s="18" customFormat="1" ht="16.5" x14ac:dyDescent="0.3">
      <c r="B70" s="244"/>
      <c r="C70" s="225"/>
      <c r="D70" s="296"/>
      <c r="E70" s="196"/>
      <c r="F70" s="213"/>
      <c r="G70" s="110">
        <v>7</v>
      </c>
      <c r="H70" s="132"/>
      <c r="I70" s="196"/>
      <c r="J70" s="228"/>
      <c r="K70" s="260"/>
      <c r="L70" s="240"/>
      <c r="M70" s="240"/>
      <c r="N70" s="191"/>
      <c r="O70" s="202"/>
    </row>
    <row r="71" spans="2:15" s="18" customFormat="1" ht="17.25" thickBot="1" x14ac:dyDescent="0.35">
      <c r="B71" s="245"/>
      <c r="C71" s="226"/>
      <c r="D71" s="297"/>
      <c r="E71" s="197"/>
      <c r="F71" s="214"/>
      <c r="G71" s="115">
        <v>8</v>
      </c>
      <c r="H71" s="133"/>
      <c r="I71" s="197"/>
      <c r="J71" s="229"/>
      <c r="K71" s="261"/>
      <c r="L71" s="240"/>
      <c r="M71" s="240"/>
      <c r="N71" s="191"/>
      <c r="O71" s="202"/>
    </row>
    <row r="72" spans="2:15" ht="36.75" customHeight="1" x14ac:dyDescent="0.3">
      <c r="B72" s="253"/>
      <c r="C72" s="293" t="s">
        <v>135</v>
      </c>
      <c r="D72" s="232" t="s">
        <v>8</v>
      </c>
      <c r="E72" s="287" t="s">
        <v>114</v>
      </c>
      <c r="F72" s="235" t="s">
        <v>115</v>
      </c>
      <c r="G72" s="276" t="s">
        <v>116</v>
      </c>
      <c r="H72" s="277"/>
      <c r="I72" s="278"/>
      <c r="J72" s="235" t="s">
        <v>117</v>
      </c>
      <c r="K72" s="262" t="s">
        <v>136</v>
      </c>
      <c r="L72" s="241"/>
      <c r="M72" s="241"/>
      <c r="N72" s="200"/>
      <c r="O72" s="203"/>
    </row>
    <row r="73" spans="2:15" ht="29.25" customHeight="1" x14ac:dyDescent="0.3">
      <c r="B73" s="253"/>
      <c r="C73" s="293"/>
      <c r="D73" s="233"/>
      <c r="E73" s="288"/>
      <c r="F73" s="235"/>
      <c r="G73" s="237" t="s">
        <v>13</v>
      </c>
      <c r="H73" s="289" t="s">
        <v>15</v>
      </c>
      <c r="I73" s="279" t="s">
        <v>17</v>
      </c>
      <c r="J73" s="235"/>
      <c r="K73" s="262"/>
      <c r="L73" s="241"/>
      <c r="M73" s="241"/>
      <c r="N73" s="200"/>
      <c r="O73" s="203"/>
    </row>
    <row r="74" spans="2:15" ht="45.75" customHeight="1" thickBot="1" x14ac:dyDescent="0.35">
      <c r="B74" s="254"/>
      <c r="C74" s="294"/>
      <c r="D74" s="234"/>
      <c r="E74" s="280"/>
      <c r="F74" s="236"/>
      <c r="G74" s="238"/>
      <c r="H74" s="279"/>
      <c r="I74" s="280"/>
      <c r="J74" s="236"/>
      <c r="K74" s="263"/>
      <c r="L74" s="241"/>
      <c r="M74" s="241"/>
      <c r="N74" s="200"/>
      <c r="O74" s="203"/>
    </row>
    <row r="75" spans="2:15" s="18" customFormat="1" ht="21" customHeight="1" x14ac:dyDescent="0.3">
      <c r="B75" s="243" t="str">
        <f>+LEFT(C75,3)</f>
        <v>2.1</v>
      </c>
      <c r="C75" s="281" t="s">
        <v>137</v>
      </c>
      <c r="D75" s="209" t="s">
        <v>138</v>
      </c>
      <c r="E75" s="301" t="s">
        <v>329</v>
      </c>
      <c r="F75" s="212">
        <v>2</v>
      </c>
      <c r="G75" s="116">
        <v>1</v>
      </c>
      <c r="H75" s="141" t="s">
        <v>330</v>
      </c>
      <c r="I75" s="192" t="s">
        <v>331</v>
      </c>
      <c r="J75" s="227">
        <v>2</v>
      </c>
      <c r="K75" s="259" t="str">
        <f t="shared" ref="K75" si="12">+IF(OR(ISBLANK(F75),ISBLANK(J75)),"",IF(OR(AND(F75=1,J75=1),AND(F75=1,J75=2),AND(F75=1,J75=3)),"Deficiencia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240">
        <f t="shared" ref="L75:L91" si="13">+IF(K75="",0,IF(K75="Deficiencia de control mayor (diseño y ejecución)",4,IF(K75="Deficiencia de control (diseño o ejecución)",20,IF(K75="Oportunidad de mejora",40,60))))</f>
        <v>20</v>
      </c>
      <c r="M75" s="240">
        <v>8.8965299999999997E-2</v>
      </c>
      <c r="N75" s="191">
        <f>+L75+M75</f>
        <v>20.088965300000002</v>
      </c>
      <c r="O75" s="202"/>
    </row>
    <row r="76" spans="2:15" s="18" customFormat="1" ht="21" customHeight="1" x14ac:dyDescent="0.3">
      <c r="B76" s="244"/>
      <c r="C76" s="282"/>
      <c r="D76" s="210"/>
      <c r="E76" s="213"/>
      <c r="F76" s="213"/>
      <c r="G76" s="110">
        <v>2</v>
      </c>
      <c r="H76" s="132"/>
      <c r="I76" s="193"/>
      <c r="J76" s="228"/>
      <c r="K76" s="260"/>
      <c r="L76" s="240"/>
      <c r="M76" s="240"/>
      <c r="N76" s="191"/>
      <c r="O76" s="202"/>
    </row>
    <row r="77" spans="2:15" s="18" customFormat="1" ht="21" customHeight="1" x14ac:dyDescent="0.3">
      <c r="B77" s="244"/>
      <c r="C77" s="282"/>
      <c r="D77" s="210"/>
      <c r="E77" s="213"/>
      <c r="F77" s="213"/>
      <c r="G77" s="110">
        <v>3</v>
      </c>
      <c r="H77" s="132"/>
      <c r="I77" s="193"/>
      <c r="J77" s="228"/>
      <c r="K77" s="260"/>
      <c r="L77" s="240"/>
      <c r="M77" s="240"/>
      <c r="N77" s="191"/>
      <c r="O77" s="202"/>
    </row>
    <row r="78" spans="2:15" s="18" customFormat="1" ht="21" customHeight="1" x14ac:dyDescent="0.3">
      <c r="B78" s="244"/>
      <c r="C78" s="282"/>
      <c r="D78" s="210"/>
      <c r="E78" s="213"/>
      <c r="F78" s="213"/>
      <c r="G78" s="110">
        <v>4</v>
      </c>
      <c r="H78" s="132"/>
      <c r="I78" s="193"/>
      <c r="J78" s="228"/>
      <c r="K78" s="260"/>
      <c r="L78" s="240"/>
      <c r="M78" s="240"/>
      <c r="N78" s="191"/>
      <c r="O78" s="202"/>
    </row>
    <row r="79" spans="2:15" s="18" customFormat="1" ht="21" customHeight="1" x14ac:dyDescent="0.3">
      <c r="B79" s="244"/>
      <c r="C79" s="282"/>
      <c r="D79" s="210"/>
      <c r="E79" s="213"/>
      <c r="F79" s="213"/>
      <c r="G79" s="110">
        <v>5</v>
      </c>
      <c r="H79" s="132"/>
      <c r="I79" s="193"/>
      <c r="J79" s="228"/>
      <c r="K79" s="260"/>
      <c r="L79" s="240"/>
      <c r="M79" s="240"/>
      <c r="N79" s="191"/>
      <c r="O79" s="202"/>
    </row>
    <row r="80" spans="2:15" s="18" customFormat="1" ht="21" customHeight="1" x14ac:dyDescent="0.3">
      <c r="B80" s="244"/>
      <c r="C80" s="282"/>
      <c r="D80" s="210"/>
      <c r="E80" s="213"/>
      <c r="F80" s="213"/>
      <c r="G80" s="110">
        <v>6</v>
      </c>
      <c r="H80" s="132"/>
      <c r="I80" s="193"/>
      <c r="J80" s="228"/>
      <c r="K80" s="260"/>
      <c r="L80" s="240"/>
      <c r="M80" s="240"/>
      <c r="N80" s="191"/>
      <c r="O80" s="202"/>
    </row>
    <row r="81" spans="2:15" s="18" customFormat="1" ht="21" customHeight="1" x14ac:dyDescent="0.3">
      <c r="B81" s="244"/>
      <c r="C81" s="282"/>
      <c r="D81" s="210"/>
      <c r="E81" s="213"/>
      <c r="F81" s="213"/>
      <c r="G81" s="110">
        <v>7</v>
      </c>
      <c r="H81" s="132"/>
      <c r="I81" s="193"/>
      <c r="J81" s="228"/>
      <c r="K81" s="260"/>
      <c r="L81" s="240"/>
      <c r="M81" s="240"/>
      <c r="N81" s="191"/>
      <c r="O81" s="202"/>
    </row>
    <row r="82" spans="2:15" s="18" customFormat="1" ht="21" customHeight="1" thickBot="1" x14ac:dyDescent="0.35">
      <c r="B82" s="245"/>
      <c r="C82" s="283"/>
      <c r="D82" s="211"/>
      <c r="E82" s="214"/>
      <c r="F82" s="214"/>
      <c r="G82" s="115">
        <v>8</v>
      </c>
      <c r="H82" s="133"/>
      <c r="I82" s="194"/>
      <c r="J82" s="229"/>
      <c r="K82" s="261"/>
      <c r="L82" s="240"/>
      <c r="M82" s="240"/>
      <c r="N82" s="191"/>
      <c r="O82" s="202"/>
    </row>
    <row r="83" spans="2:15" s="18" customFormat="1" ht="82.5" x14ac:dyDescent="0.3">
      <c r="B83" s="243" t="str">
        <f>+LEFT(C83,3)</f>
        <v>2.2</v>
      </c>
      <c r="C83" s="298" t="s">
        <v>139</v>
      </c>
      <c r="D83" s="209" t="s">
        <v>140</v>
      </c>
      <c r="E83" s="195" t="s">
        <v>332</v>
      </c>
      <c r="F83" s="212">
        <v>3</v>
      </c>
      <c r="G83" s="116">
        <v>1</v>
      </c>
      <c r="H83" s="141" t="s">
        <v>333</v>
      </c>
      <c r="I83" s="195" t="s">
        <v>334</v>
      </c>
      <c r="J83" s="227">
        <v>3</v>
      </c>
      <c r="K83" s="259" t="str">
        <f t="shared" ref="K83" si="14">+IF(OR(ISBLANK(F83),ISBLANK(J83)),"",IF(OR(AND(F83=1,J83=1),AND(F83=1,J83=2),AND(F83=1,J83=3)),"Deficiencia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40">
        <f t="shared" si="13"/>
        <v>60</v>
      </c>
      <c r="M83" s="240">
        <v>9.8965300000000006E-2</v>
      </c>
      <c r="N83" s="191">
        <f t="shared" ref="N83:N91" si="15">+L83+M83</f>
        <v>60.098965300000003</v>
      </c>
      <c r="O83" s="202"/>
    </row>
    <row r="84" spans="2:15" s="18" customFormat="1" ht="16.5" x14ac:dyDescent="0.3">
      <c r="B84" s="244"/>
      <c r="C84" s="299"/>
      <c r="D84" s="210"/>
      <c r="E84" s="196"/>
      <c r="F84" s="213"/>
      <c r="G84" s="110">
        <v>2</v>
      </c>
      <c r="H84" s="132"/>
      <c r="I84" s="196"/>
      <c r="J84" s="228"/>
      <c r="K84" s="260"/>
      <c r="L84" s="240"/>
      <c r="M84" s="240"/>
      <c r="N84" s="191"/>
      <c r="O84" s="202"/>
    </row>
    <row r="85" spans="2:15" s="18" customFormat="1" ht="16.5" x14ac:dyDescent="0.3">
      <c r="B85" s="244"/>
      <c r="C85" s="299"/>
      <c r="D85" s="210"/>
      <c r="E85" s="196"/>
      <c r="F85" s="213"/>
      <c r="G85" s="110">
        <v>3</v>
      </c>
      <c r="H85" s="132"/>
      <c r="I85" s="196"/>
      <c r="J85" s="228"/>
      <c r="K85" s="260"/>
      <c r="L85" s="240"/>
      <c r="M85" s="240"/>
      <c r="N85" s="191"/>
      <c r="O85" s="202"/>
    </row>
    <row r="86" spans="2:15" s="18" customFormat="1" ht="16.5" x14ac:dyDescent="0.3">
      <c r="B86" s="244"/>
      <c r="C86" s="299"/>
      <c r="D86" s="210"/>
      <c r="E86" s="196"/>
      <c r="F86" s="213"/>
      <c r="G86" s="110">
        <v>4</v>
      </c>
      <c r="H86" s="132"/>
      <c r="I86" s="196"/>
      <c r="J86" s="228"/>
      <c r="K86" s="260"/>
      <c r="L86" s="240"/>
      <c r="M86" s="240"/>
      <c r="N86" s="191"/>
      <c r="O86" s="202"/>
    </row>
    <row r="87" spans="2:15" s="18" customFormat="1" ht="16.5" x14ac:dyDescent="0.3">
      <c r="B87" s="244"/>
      <c r="C87" s="299"/>
      <c r="D87" s="210"/>
      <c r="E87" s="196"/>
      <c r="F87" s="213"/>
      <c r="G87" s="110">
        <v>5</v>
      </c>
      <c r="H87" s="132"/>
      <c r="I87" s="196"/>
      <c r="J87" s="228"/>
      <c r="K87" s="260"/>
      <c r="L87" s="240"/>
      <c r="M87" s="240"/>
      <c r="N87" s="191"/>
      <c r="O87" s="202"/>
    </row>
    <row r="88" spans="2:15" s="18" customFormat="1" ht="16.5" x14ac:dyDescent="0.3">
      <c r="B88" s="244"/>
      <c r="C88" s="299"/>
      <c r="D88" s="210"/>
      <c r="E88" s="196"/>
      <c r="F88" s="213"/>
      <c r="G88" s="110">
        <v>6</v>
      </c>
      <c r="H88" s="132"/>
      <c r="I88" s="196"/>
      <c r="J88" s="228"/>
      <c r="K88" s="260"/>
      <c r="L88" s="240"/>
      <c r="M88" s="240"/>
      <c r="N88" s="191"/>
      <c r="O88" s="202"/>
    </row>
    <row r="89" spans="2:15" s="18" customFormat="1" ht="16.5" x14ac:dyDescent="0.3">
      <c r="B89" s="244"/>
      <c r="C89" s="299"/>
      <c r="D89" s="210"/>
      <c r="E89" s="196"/>
      <c r="F89" s="213"/>
      <c r="G89" s="110">
        <v>7</v>
      </c>
      <c r="H89" s="132"/>
      <c r="I89" s="196"/>
      <c r="J89" s="228"/>
      <c r="K89" s="260"/>
      <c r="L89" s="240"/>
      <c r="M89" s="240"/>
      <c r="N89" s="191"/>
      <c r="O89" s="202"/>
    </row>
    <row r="90" spans="2:15" s="18" customFormat="1" ht="17.25" thickBot="1" x14ac:dyDescent="0.35">
      <c r="B90" s="245"/>
      <c r="C90" s="300"/>
      <c r="D90" s="211"/>
      <c r="E90" s="197"/>
      <c r="F90" s="214"/>
      <c r="G90" s="115">
        <v>8</v>
      </c>
      <c r="H90" s="133"/>
      <c r="I90" s="197"/>
      <c r="J90" s="229"/>
      <c r="K90" s="261"/>
      <c r="L90" s="240"/>
      <c r="M90" s="240"/>
      <c r="N90" s="191"/>
      <c r="O90" s="202"/>
    </row>
    <row r="91" spans="2:15" ht="21" customHeight="1" x14ac:dyDescent="0.3">
      <c r="B91" s="243" t="str">
        <f>+LEFT(C91,3)</f>
        <v>2.3</v>
      </c>
      <c r="C91" s="290" t="s">
        <v>141</v>
      </c>
      <c r="D91" s="209" t="s">
        <v>142</v>
      </c>
      <c r="E91" s="195" t="s">
        <v>335</v>
      </c>
      <c r="F91" s="212">
        <v>2</v>
      </c>
      <c r="G91" s="116">
        <v>1</v>
      </c>
      <c r="H91" s="141" t="s">
        <v>336</v>
      </c>
      <c r="I91" s="195" t="s">
        <v>337</v>
      </c>
      <c r="J91" s="227">
        <v>3</v>
      </c>
      <c r="K91" s="259" t="str">
        <f t="shared" ref="K91" si="16">+IF(OR(ISBLANK(F91),ISBLANK(J91)),"",IF(OR(AND(F91=1,J91=1),AND(F91=1,J91=2),AND(F91=1,J91=3)),"Deficiencia de control mayor (diseño y ejecución)",IF(OR(AND(F91=2,J91=2),AND(F91=3,J91=1),AND(F91=3,J91=2),AND(F91=2,J91=1)),"Deficiencia de control (diseño o ejecución)",IF(AND(F91=2,J91=3),"Oportunidad de mejora","Mantenimiento del control"))))</f>
        <v>Oportunidad de mejora</v>
      </c>
      <c r="L91" s="240">
        <f t="shared" si="13"/>
        <v>40</v>
      </c>
      <c r="M91" s="240">
        <v>0.15698000000000001</v>
      </c>
      <c r="N91" s="191">
        <f t="shared" si="15"/>
        <v>40.156979999999997</v>
      </c>
      <c r="O91" s="202"/>
    </row>
    <row r="92" spans="2:15" s="18" customFormat="1" ht="21" customHeight="1" x14ac:dyDescent="0.3">
      <c r="B92" s="244"/>
      <c r="C92" s="291"/>
      <c r="D92" s="210"/>
      <c r="E92" s="196"/>
      <c r="F92" s="213"/>
      <c r="G92" s="110">
        <v>2</v>
      </c>
      <c r="H92" s="132"/>
      <c r="I92" s="196"/>
      <c r="J92" s="228"/>
      <c r="K92" s="260"/>
      <c r="L92" s="240"/>
      <c r="M92" s="240"/>
      <c r="N92" s="191"/>
      <c r="O92" s="202"/>
    </row>
    <row r="93" spans="2:15" s="18" customFormat="1" ht="21" customHeight="1" x14ac:dyDescent="0.3">
      <c r="B93" s="244"/>
      <c r="C93" s="291"/>
      <c r="D93" s="210"/>
      <c r="E93" s="196"/>
      <c r="F93" s="213"/>
      <c r="G93" s="110">
        <v>3</v>
      </c>
      <c r="H93" s="132"/>
      <c r="I93" s="196"/>
      <c r="J93" s="228"/>
      <c r="K93" s="260"/>
      <c r="L93" s="240"/>
      <c r="M93" s="240"/>
      <c r="N93" s="191"/>
      <c r="O93" s="202"/>
    </row>
    <row r="94" spans="2:15" s="18" customFormat="1" ht="21" customHeight="1" x14ac:dyDescent="0.3">
      <c r="B94" s="244"/>
      <c r="C94" s="291"/>
      <c r="D94" s="210"/>
      <c r="E94" s="196"/>
      <c r="F94" s="213"/>
      <c r="G94" s="110">
        <v>4</v>
      </c>
      <c r="H94" s="132"/>
      <c r="I94" s="196"/>
      <c r="J94" s="228"/>
      <c r="K94" s="260"/>
      <c r="L94" s="240"/>
      <c r="M94" s="240"/>
      <c r="N94" s="191"/>
      <c r="O94" s="202"/>
    </row>
    <row r="95" spans="2:15" s="18" customFormat="1" ht="21" customHeight="1" x14ac:dyDescent="0.3">
      <c r="B95" s="244"/>
      <c r="C95" s="291"/>
      <c r="D95" s="210"/>
      <c r="E95" s="196"/>
      <c r="F95" s="213"/>
      <c r="G95" s="110">
        <v>5</v>
      </c>
      <c r="H95" s="132"/>
      <c r="I95" s="196"/>
      <c r="J95" s="228"/>
      <c r="K95" s="260"/>
      <c r="L95" s="240"/>
      <c r="M95" s="240"/>
      <c r="N95" s="191"/>
      <c r="O95" s="202"/>
    </row>
    <row r="96" spans="2:15" s="18" customFormat="1" ht="21" customHeight="1" x14ac:dyDescent="0.3">
      <c r="B96" s="244"/>
      <c r="C96" s="291"/>
      <c r="D96" s="210"/>
      <c r="E96" s="196"/>
      <c r="F96" s="213"/>
      <c r="G96" s="110">
        <v>6</v>
      </c>
      <c r="H96" s="132"/>
      <c r="I96" s="196"/>
      <c r="J96" s="228"/>
      <c r="K96" s="260"/>
      <c r="L96" s="240"/>
      <c r="M96" s="240"/>
      <c r="N96" s="191"/>
      <c r="O96" s="202"/>
    </row>
    <row r="97" spans="2:15" s="18" customFormat="1" ht="21" customHeight="1" x14ac:dyDescent="0.3">
      <c r="B97" s="244"/>
      <c r="C97" s="291"/>
      <c r="D97" s="210"/>
      <c r="E97" s="196"/>
      <c r="F97" s="213"/>
      <c r="G97" s="110">
        <v>7</v>
      </c>
      <c r="H97" s="132"/>
      <c r="I97" s="196"/>
      <c r="J97" s="228"/>
      <c r="K97" s="260"/>
      <c r="L97" s="240"/>
      <c r="M97" s="240"/>
      <c r="N97" s="191"/>
      <c r="O97" s="202"/>
    </row>
    <row r="98" spans="2:15" s="18" customFormat="1" ht="21" customHeight="1" thickBot="1" x14ac:dyDescent="0.35">
      <c r="B98" s="245"/>
      <c r="C98" s="292"/>
      <c r="D98" s="211"/>
      <c r="E98" s="197"/>
      <c r="F98" s="214"/>
      <c r="G98" s="115">
        <v>8</v>
      </c>
      <c r="H98" s="133"/>
      <c r="I98" s="197"/>
      <c r="J98" s="229"/>
      <c r="K98" s="261"/>
      <c r="L98" s="240"/>
      <c r="M98" s="240"/>
      <c r="N98" s="191"/>
      <c r="O98" s="202"/>
    </row>
    <row r="99" spans="2:15" ht="23.25" customHeight="1" x14ac:dyDescent="0.3">
      <c r="B99" s="248"/>
      <c r="C99" s="293" t="s">
        <v>143</v>
      </c>
      <c r="D99" s="232" t="s">
        <v>8</v>
      </c>
      <c r="E99" s="287" t="s">
        <v>114</v>
      </c>
      <c r="F99" s="235" t="s">
        <v>115</v>
      </c>
      <c r="G99" s="276" t="s">
        <v>116</v>
      </c>
      <c r="H99" s="277"/>
      <c r="I99" s="278"/>
      <c r="J99" s="235" t="s">
        <v>117</v>
      </c>
      <c r="K99" s="262" t="s">
        <v>136</v>
      </c>
      <c r="L99" s="241"/>
      <c r="M99" s="241"/>
      <c r="N99" s="200"/>
      <c r="O99" s="203"/>
    </row>
    <row r="100" spans="2:15" ht="42" customHeight="1" x14ac:dyDescent="0.3">
      <c r="B100" s="248"/>
      <c r="C100" s="293"/>
      <c r="D100" s="233"/>
      <c r="E100" s="288"/>
      <c r="F100" s="235"/>
      <c r="G100" s="237" t="s">
        <v>13</v>
      </c>
      <c r="H100" s="289" t="s">
        <v>15</v>
      </c>
      <c r="I100" s="279" t="s">
        <v>17</v>
      </c>
      <c r="J100" s="235"/>
      <c r="K100" s="262"/>
      <c r="L100" s="241"/>
      <c r="M100" s="241"/>
      <c r="N100" s="200"/>
      <c r="O100" s="203"/>
    </row>
    <row r="101" spans="2:15" ht="87.75" customHeight="1" thickBot="1" x14ac:dyDescent="0.35">
      <c r="B101" s="249"/>
      <c r="C101" s="294"/>
      <c r="D101" s="234"/>
      <c r="E101" s="280"/>
      <c r="F101" s="236"/>
      <c r="G101" s="238"/>
      <c r="H101" s="279"/>
      <c r="I101" s="280"/>
      <c r="J101" s="236"/>
      <c r="K101" s="263"/>
      <c r="L101" s="241"/>
      <c r="M101" s="241"/>
      <c r="N101" s="200"/>
      <c r="O101" s="203"/>
    </row>
    <row r="102" spans="2:15" s="18" customFormat="1" ht="16.5" x14ac:dyDescent="0.3">
      <c r="B102" s="243" t="str">
        <f>+LEFT(C102,3)</f>
        <v>3.1</v>
      </c>
      <c r="C102" s="224" t="s">
        <v>144</v>
      </c>
      <c r="D102" s="209" t="s">
        <v>145</v>
      </c>
      <c r="E102" s="195" t="s">
        <v>338</v>
      </c>
      <c r="F102" s="212">
        <v>3</v>
      </c>
      <c r="G102" s="116">
        <v>1</v>
      </c>
      <c r="H102" s="131" t="s">
        <v>339</v>
      </c>
      <c r="I102" s="195" t="s">
        <v>340</v>
      </c>
      <c r="J102" s="227">
        <v>2</v>
      </c>
      <c r="K102" s="259" t="str">
        <f t="shared" ref="K102:K118" si="17">+IF(OR(ISBLANK(F102),ISBLANK(J102)),"",IF(OR(AND(F102=1,J102=1),AND(F102=1,J102=2),AND(F102=1,J102=3)),"Deficiencia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240">
        <f t="shared" ref="L102:L118" si="18">+IF(K102="",0,IF(K102="Deficiencia de control mayor (diseño y ejecución)",4,IF(K102="Deficiencia de control (diseño o ejecución)",20,IF(K102="Oportunidad de mejora",40,60))))</f>
        <v>20</v>
      </c>
      <c r="M102" s="240">
        <v>0.28965000000000002</v>
      </c>
      <c r="N102" s="191">
        <f t="shared" ref="N102:N118" si="19">+L102+M102</f>
        <v>20.289650000000002</v>
      </c>
      <c r="O102" s="202"/>
    </row>
    <row r="103" spans="2:15" s="18" customFormat="1" ht="16.5" x14ac:dyDescent="0.3">
      <c r="B103" s="244"/>
      <c r="C103" s="225"/>
      <c r="D103" s="210"/>
      <c r="E103" s="196"/>
      <c r="F103" s="213"/>
      <c r="G103" s="110">
        <v>2</v>
      </c>
      <c r="H103" s="132"/>
      <c r="I103" s="196"/>
      <c r="J103" s="228"/>
      <c r="K103" s="260"/>
      <c r="L103" s="240"/>
      <c r="M103" s="240"/>
      <c r="N103" s="191"/>
      <c r="O103" s="202"/>
    </row>
    <row r="104" spans="2:15" s="18" customFormat="1" ht="16.5" x14ac:dyDescent="0.3">
      <c r="B104" s="244"/>
      <c r="C104" s="225"/>
      <c r="D104" s="210"/>
      <c r="E104" s="196"/>
      <c r="F104" s="213"/>
      <c r="G104" s="110">
        <v>3</v>
      </c>
      <c r="H104" s="132"/>
      <c r="I104" s="196"/>
      <c r="J104" s="228"/>
      <c r="K104" s="260"/>
      <c r="L104" s="240"/>
      <c r="M104" s="240"/>
      <c r="N104" s="191"/>
      <c r="O104" s="202"/>
    </row>
    <row r="105" spans="2:15" s="18" customFormat="1" ht="16.5" x14ac:dyDescent="0.3">
      <c r="B105" s="244"/>
      <c r="C105" s="225"/>
      <c r="D105" s="210"/>
      <c r="E105" s="196"/>
      <c r="F105" s="213"/>
      <c r="G105" s="110">
        <v>4</v>
      </c>
      <c r="H105" s="132"/>
      <c r="I105" s="196"/>
      <c r="J105" s="228"/>
      <c r="K105" s="260"/>
      <c r="L105" s="240"/>
      <c r="M105" s="240"/>
      <c r="N105" s="191"/>
      <c r="O105" s="202"/>
    </row>
    <row r="106" spans="2:15" s="18" customFormat="1" ht="16.5" x14ac:dyDescent="0.3">
      <c r="B106" s="244"/>
      <c r="C106" s="225"/>
      <c r="D106" s="210"/>
      <c r="E106" s="196"/>
      <c r="F106" s="213"/>
      <c r="G106" s="110">
        <v>5</v>
      </c>
      <c r="H106" s="132"/>
      <c r="I106" s="196"/>
      <c r="J106" s="228"/>
      <c r="K106" s="260"/>
      <c r="L106" s="240"/>
      <c r="M106" s="240"/>
      <c r="N106" s="191"/>
      <c r="O106" s="202"/>
    </row>
    <row r="107" spans="2:15" s="18" customFormat="1" ht="16.5" x14ac:dyDescent="0.3">
      <c r="B107" s="244"/>
      <c r="C107" s="225"/>
      <c r="D107" s="210"/>
      <c r="E107" s="196"/>
      <c r="F107" s="213"/>
      <c r="G107" s="110">
        <v>6</v>
      </c>
      <c r="H107" s="132"/>
      <c r="I107" s="196"/>
      <c r="J107" s="228"/>
      <c r="K107" s="260"/>
      <c r="L107" s="240"/>
      <c r="M107" s="240"/>
      <c r="N107" s="191"/>
      <c r="O107" s="202"/>
    </row>
    <row r="108" spans="2:15" s="18" customFormat="1" ht="16.5" x14ac:dyDescent="0.3">
      <c r="B108" s="244"/>
      <c r="C108" s="225"/>
      <c r="D108" s="210"/>
      <c r="E108" s="196"/>
      <c r="F108" s="213"/>
      <c r="G108" s="110">
        <v>7</v>
      </c>
      <c r="H108" s="132"/>
      <c r="I108" s="196"/>
      <c r="J108" s="228"/>
      <c r="K108" s="260"/>
      <c r="L108" s="240"/>
      <c r="M108" s="240"/>
      <c r="N108" s="191"/>
      <c r="O108" s="202"/>
    </row>
    <row r="109" spans="2:15" s="18" customFormat="1" ht="17.25" thickBot="1" x14ac:dyDescent="0.35">
      <c r="B109" s="245"/>
      <c r="C109" s="226"/>
      <c r="D109" s="211"/>
      <c r="E109" s="197"/>
      <c r="F109" s="214"/>
      <c r="G109" s="115">
        <v>8</v>
      </c>
      <c r="H109" s="133"/>
      <c r="I109" s="197"/>
      <c r="J109" s="229"/>
      <c r="K109" s="261"/>
      <c r="L109" s="240"/>
      <c r="M109" s="240"/>
      <c r="N109" s="191"/>
      <c r="O109" s="202"/>
    </row>
    <row r="110" spans="2:15" s="18" customFormat="1" ht="33" x14ac:dyDescent="0.3">
      <c r="B110" s="243" t="str">
        <f>+LEFT(C110,3)</f>
        <v>3.2</v>
      </c>
      <c r="C110" s="298" t="s">
        <v>146</v>
      </c>
      <c r="D110" s="209" t="s">
        <v>147</v>
      </c>
      <c r="E110" s="192" t="s">
        <v>304</v>
      </c>
      <c r="F110" s="212">
        <v>3</v>
      </c>
      <c r="G110" s="116">
        <v>1</v>
      </c>
      <c r="H110" s="141" t="s">
        <v>341</v>
      </c>
      <c r="I110" s="195" t="s">
        <v>342</v>
      </c>
      <c r="J110" s="227">
        <v>3</v>
      </c>
      <c r="K110" s="259" t="str">
        <f t="shared" si="17"/>
        <v>Mantenimiento del control</v>
      </c>
      <c r="L110" s="240">
        <f t="shared" si="18"/>
        <v>60</v>
      </c>
      <c r="M110" s="240">
        <v>0.38965300000000003</v>
      </c>
      <c r="N110" s="191">
        <f t="shared" si="19"/>
        <v>60.389653000000003</v>
      </c>
      <c r="O110" s="202"/>
    </row>
    <row r="111" spans="2:15" s="18" customFormat="1" ht="16.5" x14ac:dyDescent="0.3">
      <c r="B111" s="244"/>
      <c r="C111" s="299"/>
      <c r="D111" s="210"/>
      <c r="E111" s="193"/>
      <c r="F111" s="213"/>
      <c r="G111" s="110">
        <v>2</v>
      </c>
      <c r="H111" s="132"/>
      <c r="I111" s="196"/>
      <c r="J111" s="228"/>
      <c r="K111" s="260"/>
      <c r="L111" s="240"/>
      <c r="M111" s="240"/>
      <c r="N111" s="191"/>
      <c r="O111" s="202"/>
    </row>
    <row r="112" spans="2:15" s="18" customFormat="1" ht="16.5" x14ac:dyDescent="0.3">
      <c r="B112" s="244"/>
      <c r="C112" s="299"/>
      <c r="D112" s="210"/>
      <c r="E112" s="193"/>
      <c r="F112" s="213"/>
      <c r="G112" s="110">
        <v>3</v>
      </c>
      <c r="H112" s="132"/>
      <c r="I112" s="196"/>
      <c r="J112" s="228"/>
      <c r="K112" s="260"/>
      <c r="L112" s="240"/>
      <c r="M112" s="240"/>
      <c r="N112" s="191"/>
      <c r="O112" s="202"/>
    </row>
    <row r="113" spans="2:15" s="18" customFormat="1" ht="16.5" x14ac:dyDescent="0.3">
      <c r="B113" s="244"/>
      <c r="C113" s="299"/>
      <c r="D113" s="210"/>
      <c r="E113" s="193"/>
      <c r="F113" s="213"/>
      <c r="G113" s="110">
        <v>4</v>
      </c>
      <c r="H113" s="132"/>
      <c r="I113" s="196"/>
      <c r="J113" s="228"/>
      <c r="K113" s="260"/>
      <c r="L113" s="240"/>
      <c r="M113" s="240"/>
      <c r="N113" s="191"/>
      <c r="O113" s="202"/>
    </row>
    <row r="114" spans="2:15" s="18" customFormat="1" ht="16.5" x14ac:dyDescent="0.3">
      <c r="B114" s="244"/>
      <c r="C114" s="299"/>
      <c r="D114" s="210"/>
      <c r="E114" s="193"/>
      <c r="F114" s="213"/>
      <c r="G114" s="110">
        <v>5</v>
      </c>
      <c r="H114" s="132"/>
      <c r="I114" s="196"/>
      <c r="J114" s="228"/>
      <c r="K114" s="260"/>
      <c r="L114" s="240"/>
      <c r="M114" s="240"/>
      <c r="N114" s="191"/>
      <c r="O114" s="202"/>
    </row>
    <row r="115" spans="2:15" s="18" customFormat="1" ht="16.5" x14ac:dyDescent="0.3">
      <c r="B115" s="244"/>
      <c r="C115" s="299"/>
      <c r="D115" s="210"/>
      <c r="E115" s="193"/>
      <c r="F115" s="213"/>
      <c r="G115" s="110">
        <v>6</v>
      </c>
      <c r="H115" s="132"/>
      <c r="I115" s="196"/>
      <c r="J115" s="228"/>
      <c r="K115" s="260"/>
      <c r="L115" s="240"/>
      <c r="M115" s="240"/>
      <c r="N115" s="191"/>
      <c r="O115" s="202"/>
    </row>
    <row r="116" spans="2:15" s="18" customFormat="1" ht="16.5" x14ac:dyDescent="0.3">
      <c r="B116" s="244"/>
      <c r="C116" s="299"/>
      <c r="D116" s="210"/>
      <c r="E116" s="193"/>
      <c r="F116" s="213"/>
      <c r="G116" s="110">
        <v>7</v>
      </c>
      <c r="H116" s="132"/>
      <c r="I116" s="196"/>
      <c r="J116" s="228"/>
      <c r="K116" s="260"/>
      <c r="L116" s="240"/>
      <c r="M116" s="240"/>
      <c r="N116" s="191"/>
      <c r="O116" s="202"/>
    </row>
    <row r="117" spans="2:15" s="18" customFormat="1" ht="17.25" thickBot="1" x14ac:dyDescent="0.35">
      <c r="B117" s="245"/>
      <c r="C117" s="300"/>
      <c r="D117" s="211"/>
      <c r="E117" s="194"/>
      <c r="F117" s="214"/>
      <c r="G117" s="115">
        <v>8</v>
      </c>
      <c r="H117" s="133"/>
      <c r="I117" s="197"/>
      <c r="J117" s="229"/>
      <c r="K117" s="261"/>
      <c r="L117" s="240"/>
      <c r="M117" s="240"/>
      <c r="N117" s="191"/>
      <c r="O117" s="202"/>
    </row>
    <row r="118" spans="2:15" s="18" customFormat="1" ht="21" customHeight="1" x14ac:dyDescent="0.3">
      <c r="B118" s="243" t="str">
        <f>+LEFT(C118,3)</f>
        <v>3.3</v>
      </c>
      <c r="C118" s="298" t="s">
        <v>148</v>
      </c>
      <c r="D118" s="209" t="s">
        <v>149</v>
      </c>
      <c r="E118" s="195" t="s">
        <v>343</v>
      </c>
      <c r="F118" s="192">
        <v>3</v>
      </c>
      <c r="G118" s="116">
        <v>1</v>
      </c>
      <c r="H118" s="141" t="s">
        <v>341</v>
      </c>
      <c r="I118" s="195" t="s">
        <v>344</v>
      </c>
      <c r="J118" s="315">
        <v>3</v>
      </c>
      <c r="K118" s="259" t="str">
        <f t="shared" si="17"/>
        <v>Mantenimiento del control</v>
      </c>
      <c r="L118" s="240">
        <f t="shared" si="18"/>
        <v>60</v>
      </c>
      <c r="M118" s="240">
        <v>0.48964999999999997</v>
      </c>
      <c r="N118" s="191">
        <f t="shared" si="19"/>
        <v>60.489649999999997</v>
      </c>
      <c r="O118" s="202"/>
    </row>
    <row r="119" spans="2:15" s="18" customFormat="1" ht="21" customHeight="1" x14ac:dyDescent="0.3">
      <c r="B119" s="244"/>
      <c r="C119" s="299"/>
      <c r="D119" s="210"/>
      <c r="E119" s="196"/>
      <c r="F119" s="193"/>
      <c r="G119" s="110">
        <v>2</v>
      </c>
      <c r="H119" s="132"/>
      <c r="I119" s="196"/>
      <c r="J119" s="316"/>
      <c r="K119" s="260"/>
      <c r="L119" s="240"/>
      <c r="M119" s="240"/>
      <c r="N119" s="191"/>
      <c r="O119" s="202"/>
    </row>
    <row r="120" spans="2:15" s="18" customFormat="1" ht="21" customHeight="1" x14ac:dyDescent="0.3">
      <c r="B120" s="244"/>
      <c r="C120" s="299"/>
      <c r="D120" s="210"/>
      <c r="E120" s="196"/>
      <c r="F120" s="193"/>
      <c r="G120" s="110">
        <v>3</v>
      </c>
      <c r="H120" s="132"/>
      <c r="I120" s="196"/>
      <c r="J120" s="316"/>
      <c r="K120" s="260"/>
      <c r="L120" s="240"/>
      <c r="M120" s="240"/>
      <c r="N120" s="191"/>
      <c r="O120" s="202"/>
    </row>
    <row r="121" spans="2:15" s="18" customFormat="1" ht="21" customHeight="1" x14ac:dyDescent="0.3">
      <c r="B121" s="244"/>
      <c r="C121" s="299"/>
      <c r="D121" s="210"/>
      <c r="E121" s="196"/>
      <c r="F121" s="193"/>
      <c r="G121" s="110">
        <v>4</v>
      </c>
      <c r="H121" s="132"/>
      <c r="I121" s="196"/>
      <c r="J121" s="316"/>
      <c r="K121" s="260"/>
      <c r="L121" s="240"/>
      <c r="M121" s="240"/>
      <c r="N121" s="191"/>
      <c r="O121" s="202"/>
    </row>
    <row r="122" spans="2:15" s="18" customFormat="1" ht="21" customHeight="1" x14ac:dyDescent="0.3">
      <c r="B122" s="244"/>
      <c r="C122" s="299"/>
      <c r="D122" s="210"/>
      <c r="E122" s="196"/>
      <c r="F122" s="193"/>
      <c r="G122" s="110">
        <v>5</v>
      </c>
      <c r="H122" s="132"/>
      <c r="I122" s="196"/>
      <c r="J122" s="316"/>
      <c r="K122" s="260"/>
      <c r="L122" s="240"/>
      <c r="M122" s="240"/>
      <c r="N122" s="191"/>
      <c r="O122" s="202"/>
    </row>
    <row r="123" spans="2:15" s="18" customFormat="1" ht="21" customHeight="1" x14ac:dyDescent="0.3">
      <c r="B123" s="244"/>
      <c r="C123" s="299"/>
      <c r="D123" s="210"/>
      <c r="E123" s="196"/>
      <c r="F123" s="193"/>
      <c r="G123" s="110">
        <v>6</v>
      </c>
      <c r="H123" s="132"/>
      <c r="I123" s="196"/>
      <c r="J123" s="316"/>
      <c r="K123" s="260"/>
      <c r="L123" s="240"/>
      <c r="M123" s="240"/>
      <c r="N123" s="191"/>
      <c r="O123" s="202"/>
    </row>
    <row r="124" spans="2:15" s="18" customFormat="1" ht="21" customHeight="1" x14ac:dyDescent="0.3">
      <c r="B124" s="244"/>
      <c r="C124" s="299"/>
      <c r="D124" s="210"/>
      <c r="E124" s="196"/>
      <c r="F124" s="193"/>
      <c r="G124" s="110">
        <v>7</v>
      </c>
      <c r="H124" s="132"/>
      <c r="I124" s="196"/>
      <c r="J124" s="316"/>
      <c r="K124" s="260"/>
      <c r="L124" s="240"/>
      <c r="M124" s="240"/>
      <c r="N124" s="191"/>
      <c r="O124" s="202"/>
    </row>
    <row r="125" spans="2:15" s="18" customFormat="1" ht="21" customHeight="1" thickBot="1" x14ac:dyDescent="0.35">
      <c r="B125" s="245"/>
      <c r="C125" s="300"/>
      <c r="D125" s="211"/>
      <c r="E125" s="197"/>
      <c r="F125" s="194"/>
      <c r="G125" s="115">
        <v>8</v>
      </c>
      <c r="H125" s="133"/>
      <c r="I125" s="197"/>
      <c r="J125" s="317"/>
      <c r="K125" s="261"/>
      <c r="L125" s="240"/>
      <c r="M125" s="240"/>
      <c r="N125" s="191"/>
      <c r="O125" s="202"/>
    </row>
    <row r="126" spans="2:15" ht="27.75" customHeight="1" x14ac:dyDescent="0.3">
      <c r="B126" s="246"/>
      <c r="C126" s="230" t="s">
        <v>150</v>
      </c>
      <c r="D126" s="232" t="s">
        <v>8</v>
      </c>
      <c r="E126" s="287" t="s">
        <v>114</v>
      </c>
      <c r="F126" s="235" t="s">
        <v>115</v>
      </c>
      <c r="G126" s="276" t="s">
        <v>116</v>
      </c>
      <c r="H126" s="277"/>
      <c r="I126" s="278"/>
      <c r="J126" s="235" t="s">
        <v>117</v>
      </c>
      <c r="K126" s="264" t="s">
        <v>136</v>
      </c>
      <c r="L126" s="241"/>
      <c r="M126" s="241"/>
      <c r="N126" s="200"/>
      <c r="O126" s="203"/>
    </row>
    <row r="127" spans="2:15" ht="66" customHeight="1" x14ac:dyDescent="0.3">
      <c r="B127" s="247"/>
      <c r="C127" s="231"/>
      <c r="D127" s="233"/>
      <c r="E127" s="288"/>
      <c r="F127" s="235"/>
      <c r="G127" s="237" t="s">
        <v>13</v>
      </c>
      <c r="H127" s="289" t="s">
        <v>15</v>
      </c>
      <c r="I127" s="279" t="s">
        <v>17</v>
      </c>
      <c r="J127" s="235"/>
      <c r="K127" s="262"/>
      <c r="L127" s="241"/>
      <c r="M127" s="241"/>
      <c r="N127" s="200"/>
      <c r="O127" s="203"/>
    </row>
    <row r="128" spans="2:15" ht="14.25" customHeight="1" thickBot="1" x14ac:dyDescent="0.35">
      <c r="B128" s="247"/>
      <c r="C128" s="231"/>
      <c r="D128" s="234"/>
      <c r="E128" s="280"/>
      <c r="F128" s="236"/>
      <c r="G128" s="238"/>
      <c r="H128" s="279"/>
      <c r="I128" s="280"/>
      <c r="J128" s="236"/>
      <c r="K128" s="263"/>
      <c r="L128" s="241"/>
      <c r="M128" s="241"/>
      <c r="N128" s="200"/>
      <c r="O128" s="203"/>
    </row>
    <row r="129" spans="2:15" ht="21" customHeight="1" x14ac:dyDescent="0.3">
      <c r="B129" s="243" t="str">
        <f>+LEFT(C129,3)</f>
        <v>4.1</v>
      </c>
      <c r="C129" s="281" t="s">
        <v>151</v>
      </c>
      <c r="D129" s="209" t="s">
        <v>152</v>
      </c>
      <c r="E129" s="195" t="s">
        <v>308</v>
      </c>
      <c r="F129" s="212">
        <v>3</v>
      </c>
      <c r="G129" s="116">
        <v>1</v>
      </c>
      <c r="H129" s="131" t="s">
        <v>347</v>
      </c>
      <c r="I129" s="195"/>
      <c r="J129" s="192">
        <v>3</v>
      </c>
      <c r="K129" s="239" t="str">
        <f t="shared" ref="K129:K177" si="20">+IF(OR(ISBLANK(F129),ISBLANK(J129)),"",IF(OR(AND(F129=1,J129=1),AND(F129=1,J129=2),AND(F129=1,J129=3)),"Deficiencia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40">
        <f t="shared" ref="L129:L177" si="21">+IF(K129="",0,IF(K129="Deficiencia de control mayor (diseño y ejecución)",4,IF(K129="Deficiencia de control (diseño o ejecución)",20,IF(K129="Oportunidad de mejora",40,60))))</f>
        <v>60</v>
      </c>
      <c r="M129" s="240">
        <v>0.58965000000000001</v>
      </c>
      <c r="N129" s="191">
        <f t="shared" ref="N129:N177" si="22">+L129+M129</f>
        <v>60.589649999999999</v>
      </c>
      <c r="O129" s="202"/>
    </row>
    <row r="130" spans="2:15" s="18" customFormat="1" ht="21" customHeight="1" x14ac:dyDescent="0.3">
      <c r="B130" s="244"/>
      <c r="C130" s="282"/>
      <c r="D130" s="210"/>
      <c r="E130" s="196"/>
      <c r="F130" s="213"/>
      <c r="G130" s="110">
        <v>2</v>
      </c>
      <c r="H130" s="132"/>
      <c r="I130" s="196"/>
      <c r="J130" s="193"/>
      <c r="K130" s="239"/>
      <c r="L130" s="240"/>
      <c r="M130" s="240"/>
      <c r="N130" s="191"/>
      <c r="O130" s="202"/>
    </row>
    <row r="131" spans="2:15" s="18" customFormat="1" ht="21" customHeight="1" x14ac:dyDescent="0.3">
      <c r="B131" s="244"/>
      <c r="C131" s="282"/>
      <c r="D131" s="210"/>
      <c r="E131" s="196"/>
      <c r="F131" s="213"/>
      <c r="G131" s="110">
        <v>3</v>
      </c>
      <c r="H131" s="132"/>
      <c r="I131" s="196"/>
      <c r="J131" s="193"/>
      <c r="K131" s="239"/>
      <c r="L131" s="240"/>
      <c r="M131" s="240"/>
      <c r="N131" s="191"/>
      <c r="O131" s="202"/>
    </row>
    <row r="132" spans="2:15" s="18" customFormat="1" ht="21" customHeight="1" x14ac:dyDescent="0.3">
      <c r="B132" s="244"/>
      <c r="C132" s="282"/>
      <c r="D132" s="210"/>
      <c r="E132" s="196"/>
      <c r="F132" s="213"/>
      <c r="G132" s="110">
        <v>4</v>
      </c>
      <c r="H132" s="132"/>
      <c r="I132" s="196"/>
      <c r="J132" s="193"/>
      <c r="K132" s="239"/>
      <c r="L132" s="240"/>
      <c r="M132" s="240"/>
      <c r="N132" s="191"/>
      <c r="O132" s="202"/>
    </row>
    <row r="133" spans="2:15" s="18" customFormat="1" ht="21" customHeight="1" x14ac:dyDescent="0.3">
      <c r="B133" s="244"/>
      <c r="C133" s="282"/>
      <c r="D133" s="210"/>
      <c r="E133" s="196"/>
      <c r="F133" s="213"/>
      <c r="G133" s="110">
        <v>5</v>
      </c>
      <c r="H133" s="132"/>
      <c r="I133" s="196"/>
      <c r="J133" s="193"/>
      <c r="K133" s="239"/>
      <c r="L133" s="240"/>
      <c r="M133" s="240"/>
      <c r="N133" s="191"/>
      <c r="O133" s="202"/>
    </row>
    <row r="134" spans="2:15" s="18" customFormat="1" ht="21" customHeight="1" x14ac:dyDescent="0.3">
      <c r="B134" s="244"/>
      <c r="C134" s="282"/>
      <c r="D134" s="210"/>
      <c r="E134" s="196"/>
      <c r="F134" s="213"/>
      <c r="G134" s="110">
        <v>6</v>
      </c>
      <c r="H134" s="132"/>
      <c r="I134" s="196"/>
      <c r="J134" s="193"/>
      <c r="K134" s="239"/>
      <c r="L134" s="240"/>
      <c r="M134" s="240"/>
      <c r="N134" s="191"/>
      <c r="O134" s="202"/>
    </row>
    <row r="135" spans="2:15" s="18" customFormat="1" ht="21" customHeight="1" x14ac:dyDescent="0.3">
      <c r="B135" s="244"/>
      <c r="C135" s="282"/>
      <c r="D135" s="210"/>
      <c r="E135" s="196"/>
      <c r="F135" s="213"/>
      <c r="G135" s="110">
        <v>7</v>
      </c>
      <c r="H135" s="132"/>
      <c r="I135" s="196"/>
      <c r="J135" s="193"/>
      <c r="K135" s="239"/>
      <c r="L135" s="240"/>
      <c r="M135" s="240"/>
      <c r="N135" s="191"/>
      <c r="O135" s="202"/>
    </row>
    <row r="136" spans="2:15" s="18" customFormat="1" ht="21" customHeight="1" thickBot="1" x14ac:dyDescent="0.35">
      <c r="B136" s="245"/>
      <c r="C136" s="283"/>
      <c r="D136" s="211"/>
      <c r="E136" s="197"/>
      <c r="F136" s="214"/>
      <c r="G136" s="115">
        <v>8</v>
      </c>
      <c r="H136" s="133"/>
      <c r="I136" s="197"/>
      <c r="J136" s="194"/>
      <c r="K136" s="239"/>
      <c r="L136" s="240"/>
      <c r="M136" s="240"/>
      <c r="N136" s="191"/>
      <c r="O136" s="202"/>
    </row>
    <row r="137" spans="2:15" s="18" customFormat="1" ht="21" customHeight="1" x14ac:dyDescent="0.3">
      <c r="B137" s="243" t="str">
        <f>+LEFT(C137,3)</f>
        <v>4.2</v>
      </c>
      <c r="C137" s="281" t="s">
        <v>153</v>
      </c>
      <c r="D137" s="209" t="s">
        <v>152</v>
      </c>
      <c r="E137" s="195" t="s">
        <v>345</v>
      </c>
      <c r="F137" s="212">
        <v>2</v>
      </c>
      <c r="G137" s="116">
        <v>1</v>
      </c>
      <c r="H137" s="131" t="s">
        <v>339</v>
      </c>
      <c r="I137" s="192" t="s">
        <v>346</v>
      </c>
      <c r="J137" s="192">
        <v>2</v>
      </c>
      <c r="K137" s="239" t="str">
        <f t="shared" si="20"/>
        <v>Deficiencia de control (diseño o ejecución)</v>
      </c>
      <c r="L137" s="240">
        <f t="shared" si="21"/>
        <v>20</v>
      </c>
      <c r="M137" s="240">
        <v>0.68964999999999999</v>
      </c>
      <c r="N137" s="191">
        <f t="shared" si="22"/>
        <v>20.68965</v>
      </c>
      <c r="O137" s="202"/>
    </row>
    <row r="138" spans="2:15" s="18" customFormat="1" ht="21" customHeight="1" x14ac:dyDescent="0.3">
      <c r="B138" s="244"/>
      <c r="C138" s="282"/>
      <c r="D138" s="210"/>
      <c r="E138" s="196"/>
      <c r="F138" s="213"/>
      <c r="G138" s="110">
        <v>2</v>
      </c>
      <c r="H138" s="132"/>
      <c r="I138" s="193"/>
      <c r="J138" s="193"/>
      <c r="K138" s="239"/>
      <c r="L138" s="240"/>
      <c r="M138" s="240"/>
      <c r="N138" s="191"/>
      <c r="O138" s="202"/>
    </row>
    <row r="139" spans="2:15" s="18" customFormat="1" ht="21" customHeight="1" x14ac:dyDescent="0.3">
      <c r="B139" s="244"/>
      <c r="C139" s="282"/>
      <c r="D139" s="210"/>
      <c r="E139" s="196"/>
      <c r="F139" s="213"/>
      <c r="G139" s="110">
        <v>3</v>
      </c>
      <c r="H139" s="132"/>
      <c r="I139" s="193"/>
      <c r="J139" s="193"/>
      <c r="K139" s="239"/>
      <c r="L139" s="240"/>
      <c r="M139" s="240"/>
      <c r="N139" s="191"/>
      <c r="O139" s="202"/>
    </row>
    <row r="140" spans="2:15" s="18" customFormat="1" ht="21" customHeight="1" x14ac:dyDescent="0.3">
      <c r="B140" s="244"/>
      <c r="C140" s="282"/>
      <c r="D140" s="210"/>
      <c r="E140" s="196"/>
      <c r="F140" s="213"/>
      <c r="G140" s="110">
        <v>4</v>
      </c>
      <c r="H140" s="132"/>
      <c r="I140" s="193"/>
      <c r="J140" s="193"/>
      <c r="K140" s="239"/>
      <c r="L140" s="240"/>
      <c r="M140" s="240"/>
      <c r="N140" s="191"/>
      <c r="O140" s="202"/>
    </row>
    <row r="141" spans="2:15" s="18" customFormat="1" ht="21" customHeight="1" x14ac:dyDescent="0.3">
      <c r="B141" s="244"/>
      <c r="C141" s="282"/>
      <c r="D141" s="210"/>
      <c r="E141" s="196"/>
      <c r="F141" s="213"/>
      <c r="G141" s="110">
        <v>5</v>
      </c>
      <c r="H141" s="132"/>
      <c r="I141" s="193"/>
      <c r="J141" s="193"/>
      <c r="K141" s="239"/>
      <c r="L141" s="240"/>
      <c r="M141" s="240"/>
      <c r="N141" s="191"/>
      <c r="O141" s="202"/>
    </row>
    <row r="142" spans="2:15" s="18" customFormat="1" ht="21" customHeight="1" x14ac:dyDescent="0.3">
      <c r="B142" s="244"/>
      <c r="C142" s="282"/>
      <c r="D142" s="210"/>
      <c r="E142" s="196"/>
      <c r="F142" s="213"/>
      <c r="G142" s="110">
        <v>6</v>
      </c>
      <c r="H142" s="132"/>
      <c r="I142" s="193"/>
      <c r="J142" s="193"/>
      <c r="K142" s="239"/>
      <c r="L142" s="240"/>
      <c r="M142" s="240"/>
      <c r="N142" s="191"/>
      <c r="O142" s="202"/>
    </row>
    <row r="143" spans="2:15" s="18" customFormat="1" ht="21" customHeight="1" x14ac:dyDescent="0.3">
      <c r="B143" s="244"/>
      <c r="C143" s="282"/>
      <c r="D143" s="210"/>
      <c r="E143" s="196"/>
      <c r="F143" s="213"/>
      <c r="G143" s="110">
        <v>7</v>
      </c>
      <c r="H143" s="132"/>
      <c r="I143" s="193"/>
      <c r="J143" s="193"/>
      <c r="K143" s="239"/>
      <c r="L143" s="240"/>
      <c r="M143" s="240"/>
      <c r="N143" s="191"/>
      <c r="O143" s="202"/>
    </row>
    <row r="144" spans="2:15" s="18" customFormat="1" ht="21" customHeight="1" thickBot="1" x14ac:dyDescent="0.35">
      <c r="B144" s="245"/>
      <c r="C144" s="283"/>
      <c r="D144" s="211"/>
      <c r="E144" s="197"/>
      <c r="F144" s="214"/>
      <c r="G144" s="115">
        <v>8</v>
      </c>
      <c r="H144" s="133"/>
      <c r="I144" s="194"/>
      <c r="J144" s="194"/>
      <c r="K144" s="239"/>
      <c r="L144" s="240"/>
      <c r="M144" s="240"/>
      <c r="N144" s="191"/>
      <c r="O144" s="202"/>
    </row>
    <row r="145" spans="2:15" s="18" customFormat="1" ht="21" customHeight="1" x14ac:dyDescent="0.3">
      <c r="B145" s="243" t="str">
        <f>+LEFT(C145,3)</f>
        <v>4.3</v>
      </c>
      <c r="C145" s="281" t="s">
        <v>154</v>
      </c>
      <c r="D145" s="209" t="s">
        <v>152</v>
      </c>
      <c r="E145" s="195" t="s">
        <v>309</v>
      </c>
      <c r="F145" s="192">
        <v>3</v>
      </c>
      <c r="G145" s="116">
        <v>1</v>
      </c>
      <c r="H145" s="131" t="s">
        <v>347</v>
      </c>
      <c r="I145" s="195" t="s">
        <v>348</v>
      </c>
      <c r="J145" s="192">
        <v>3</v>
      </c>
      <c r="K145" s="239" t="str">
        <f t="shared" si="20"/>
        <v>Mantenimiento del control</v>
      </c>
      <c r="L145" s="240">
        <f t="shared" si="21"/>
        <v>60</v>
      </c>
      <c r="M145" s="240">
        <v>0.78964999999999996</v>
      </c>
      <c r="N145" s="191">
        <f t="shared" si="22"/>
        <v>60.789650000000002</v>
      </c>
      <c r="O145" s="202"/>
    </row>
    <row r="146" spans="2:15" s="18" customFormat="1" ht="21" customHeight="1" x14ac:dyDescent="0.3">
      <c r="B146" s="244"/>
      <c r="C146" s="282"/>
      <c r="D146" s="210"/>
      <c r="E146" s="196"/>
      <c r="F146" s="193"/>
      <c r="G146" s="110">
        <v>2</v>
      </c>
      <c r="H146" s="132"/>
      <c r="I146" s="196"/>
      <c r="J146" s="193"/>
      <c r="K146" s="239"/>
      <c r="L146" s="240"/>
      <c r="M146" s="240"/>
      <c r="N146" s="191"/>
      <c r="O146" s="202"/>
    </row>
    <row r="147" spans="2:15" s="18" customFormat="1" ht="21" customHeight="1" x14ac:dyDescent="0.3">
      <c r="B147" s="244"/>
      <c r="C147" s="282"/>
      <c r="D147" s="210"/>
      <c r="E147" s="196"/>
      <c r="F147" s="193"/>
      <c r="G147" s="110">
        <v>3</v>
      </c>
      <c r="H147" s="132"/>
      <c r="I147" s="196"/>
      <c r="J147" s="193"/>
      <c r="K147" s="239"/>
      <c r="L147" s="240"/>
      <c r="M147" s="240"/>
      <c r="N147" s="191"/>
      <c r="O147" s="202"/>
    </row>
    <row r="148" spans="2:15" s="18" customFormat="1" ht="21" customHeight="1" x14ac:dyDescent="0.3">
      <c r="B148" s="244"/>
      <c r="C148" s="282"/>
      <c r="D148" s="210"/>
      <c r="E148" s="196"/>
      <c r="F148" s="193"/>
      <c r="G148" s="110">
        <v>4</v>
      </c>
      <c r="H148" s="132"/>
      <c r="I148" s="196"/>
      <c r="J148" s="193"/>
      <c r="K148" s="239"/>
      <c r="L148" s="240"/>
      <c r="M148" s="240"/>
      <c r="N148" s="191"/>
      <c r="O148" s="202"/>
    </row>
    <row r="149" spans="2:15" s="18" customFormat="1" ht="21" customHeight="1" x14ac:dyDescent="0.3">
      <c r="B149" s="244"/>
      <c r="C149" s="282"/>
      <c r="D149" s="210"/>
      <c r="E149" s="196"/>
      <c r="F149" s="193"/>
      <c r="G149" s="110">
        <v>5</v>
      </c>
      <c r="H149" s="132"/>
      <c r="I149" s="196"/>
      <c r="J149" s="193"/>
      <c r="K149" s="239"/>
      <c r="L149" s="240"/>
      <c r="M149" s="240"/>
      <c r="N149" s="191"/>
      <c r="O149" s="202"/>
    </row>
    <row r="150" spans="2:15" s="18" customFormat="1" ht="21" customHeight="1" x14ac:dyDescent="0.3">
      <c r="B150" s="244"/>
      <c r="C150" s="282"/>
      <c r="D150" s="210"/>
      <c r="E150" s="196"/>
      <c r="F150" s="193"/>
      <c r="G150" s="110">
        <v>6</v>
      </c>
      <c r="H150" s="132"/>
      <c r="I150" s="196"/>
      <c r="J150" s="193"/>
      <c r="K150" s="239"/>
      <c r="L150" s="240"/>
      <c r="M150" s="240"/>
      <c r="N150" s="191"/>
      <c r="O150" s="202"/>
    </row>
    <row r="151" spans="2:15" s="18" customFormat="1" ht="21" customHeight="1" x14ac:dyDescent="0.3">
      <c r="B151" s="244"/>
      <c r="C151" s="282"/>
      <c r="D151" s="210"/>
      <c r="E151" s="196"/>
      <c r="F151" s="193"/>
      <c r="G151" s="110">
        <v>7</v>
      </c>
      <c r="H151" s="132"/>
      <c r="I151" s="196"/>
      <c r="J151" s="193"/>
      <c r="K151" s="239"/>
      <c r="L151" s="240"/>
      <c r="M151" s="240"/>
      <c r="N151" s="191"/>
      <c r="O151" s="202"/>
    </row>
    <row r="152" spans="2:15" s="18" customFormat="1" ht="21" customHeight="1" thickBot="1" x14ac:dyDescent="0.35">
      <c r="B152" s="245"/>
      <c r="C152" s="283"/>
      <c r="D152" s="211"/>
      <c r="E152" s="197"/>
      <c r="F152" s="194"/>
      <c r="G152" s="115">
        <v>8</v>
      </c>
      <c r="H152" s="133"/>
      <c r="I152" s="197"/>
      <c r="J152" s="194"/>
      <c r="K152" s="239"/>
      <c r="L152" s="240"/>
      <c r="M152" s="240"/>
      <c r="N152" s="191"/>
      <c r="O152" s="202"/>
    </row>
    <row r="153" spans="2:15" s="18" customFormat="1" ht="21" customHeight="1" x14ac:dyDescent="0.3">
      <c r="B153" s="243" t="str">
        <f>+LEFT(C153,3)</f>
        <v>4.4</v>
      </c>
      <c r="C153" s="281" t="s">
        <v>155</v>
      </c>
      <c r="D153" s="209" t="s">
        <v>152</v>
      </c>
      <c r="E153" s="195" t="s">
        <v>312</v>
      </c>
      <c r="F153" s="192">
        <v>3</v>
      </c>
      <c r="G153" s="116">
        <v>1</v>
      </c>
      <c r="H153" s="131" t="s">
        <v>339</v>
      </c>
      <c r="I153" s="195" t="s">
        <v>349</v>
      </c>
      <c r="J153" s="192">
        <v>3</v>
      </c>
      <c r="K153" s="239" t="str">
        <f t="shared" si="20"/>
        <v>Mantenimiento del control</v>
      </c>
      <c r="L153" s="240">
        <f t="shared" si="21"/>
        <v>60</v>
      </c>
      <c r="M153" s="240">
        <v>0.88965000000000005</v>
      </c>
      <c r="N153" s="191">
        <f t="shared" si="22"/>
        <v>60.889650000000003</v>
      </c>
      <c r="O153" s="202"/>
    </row>
    <row r="154" spans="2:15" s="18" customFormat="1" ht="21" customHeight="1" x14ac:dyDescent="0.3">
      <c r="B154" s="244"/>
      <c r="C154" s="282"/>
      <c r="D154" s="210"/>
      <c r="E154" s="196"/>
      <c r="F154" s="193"/>
      <c r="G154" s="110">
        <v>2</v>
      </c>
      <c r="H154" s="132"/>
      <c r="I154" s="196"/>
      <c r="J154" s="193"/>
      <c r="K154" s="239"/>
      <c r="L154" s="240"/>
      <c r="M154" s="240"/>
      <c r="N154" s="191"/>
      <c r="O154" s="202"/>
    </row>
    <row r="155" spans="2:15" s="18" customFormat="1" ht="21" customHeight="1" x14ac:dyDescent="0.3">
      <c r="B155" s="244"/>
      <c r="C155" s="282"/>
      <c r="D155" s="210"/>
      <c r="E155" s="196"/>
      <c r="F155" s="193"/>
      <c r="G155" s="110">
        <v>3</v>
      </c>
      <c r="H155" s="132"/>
      <c r="I155" s="196"/>
      <c r="J155" s="193"/>
      <c r="K155" s="239"/>
      <c r="L155" s="240"/>
      <c r="M155" s="240"/>
      <c r="N155" s="191"/>
      <c r="O155" s="202"/>
    </row>
    <row r="156" spans="2:15" s="18" customFormat="1" ht="21" customHeight="1" x14ac:dyDescent="0.3">
      <c r="B156" s="244"/>
      <c r="C156" s="282"/>
      <c r="D156" s="210"/>
      <c r="E156" s="196"/>
      <c r="F156" s="193"/>
      <c r="G156" s="110">
        <v>4</v>
      </c>
      <c r="H156" s="132"/>
      <c r="I156" s="196"/>
      <c r="J156" s="193"/>
      <c r="K156" s="239"/>
      <c r="L156" s="240"/>
      <c r="M156" s="240"/>
      <c r="N156" s="191"/>
      <c r="O156" s="202"/>
    </row>
    <row r="157" spans="2:15" s="18" customFormat="1" ht="21" customHeight="1" x14ac:dyDescent="0.3">
      <c r="B157" s="244"/>
      <c r="C157" s="282"/>
      <c r="D157" s="210"/>
      <c r="E157" s="196"/>
      <c r="F157" s="193"/>
      <c r="G157" s="110">
        <v>5</v>
      </c>
      <c r="H157" s="132"/>
      <c r="I157" s="196"/>
      <c r="J157" s="193"/>
      <c r="K157" s="239"/>
      <c r="L157" s="240"/>
      <c r="M157" s="240"/>
      <c r="N157" s="191"/>
      <c r="O157" s="202"/>
    </row>
    <row r="158" spans="2:15" s="18" customFormat="1" ht="21" customHeight="1" x14ac:dyDescent="0.3">
      <c r="B158" s="244"/>
      <c r="C158" s="282"/>
      <c r="D158" s="210"/>
      <c r="E158" s="196"/>
      <c r="F158" s="193"/>
      <c r="G158" s="110">
        <v>6</v>
      </c>
      <c r="H158" s="132"/>
      <c r="I158" s="196"/>
      <c r="J158" s="193"/>
      <c r="K158" s="239"/>
      <c r="L158" s="240"/>
      <c r="M158" s="240"/>
      <c r="N158" s="191"/>
      <c r="O158" s="202"/>
    </row>
    <row r="159" spans="2:15" s="18" customFormat="1" ht="21" customHeight="1" x14ac:dyDescent="0.3">
      <c r="B159" s="244"/>
      <c r="C159" s="282"/>
      <c r="D159" s="210"/>
      <c r="E159" s="196"/>
      <c r="F159" s="193"/>
      <c r="G159" s="110">
        <v>7</v>
      </c>
      <c r="H159" s="132"/>
      <c r="I159" s="196"/>
      <c r="J159" s="193"/>
      <c r="K159" s="239"/>
      <c r="L159" s="240"/>
      <c r="M159" s="240"/>
      <c r="N159" s="191"/>
      <c r="O159" s="202"/>
    </row>
    <row r="160" spans="2:15" s="18" customFormat="1" ht="21" customHeight="1" thickBot="1" x14ac:dyDescent="0.35">
      <c r="B160" s="245"/>
      <c r="C160" s="283"/>
      <c r="D160" s="211"/>
      <c r="E160" s="197"/>
      <c r="F160" s="194"/>
      <c r="G160" s="115">
        <v>8</v>
      </c>
      <c r="H160" s="133"/>
      <c r="I160" s="197"/>
      <c r="J160" s="194"/>
      <c r="K160" s="239"/>
      <c r="L160" s="240"/>
      <c r="M160" s="240"/>
      <c r="N160" s="191"/>
      <c r="O160" s="202"/>
    </row>
    <row r="161" spans="2:15" s="18" customFormat="1" ht="21" customHeight="1" x14ac:dyDescent="0.3">
      <c r="B161" s="243" t="str">
        <f>+LEFT(C161,3)</f>
        <v>4.5</v>
      </c>
      <c r="C161" s="281" t="s">
        <v>156</v>
      </c>
      <c r="D161" s="209" t="s">
        <v>152</v>
      </c>
      <c r="E161" s="195" t="s">
        <v>350</v>
      </c>
      <c r="F161" s="192">
        <v>3</v>
      </c>
      <c r="G161" s="116">
        <v>1</v>
      </c>
      <c r="H161" s="131" t="s">
        <v>339</v>
      </c>
      <c r="I161" s="195" t="s">
        <v>351</v>
      </c>
      <c r="J161" s="192">
        <v>3</v>
      </c>
      <c r="K161" s="239" t="str">
        <f t="shared" si="20"/>
        <v>Mantenimiento del control</v>
      </c>
      <c r="L161" s="240">
        <f t="shared" si="21"/>
        <v>60</v>
      </c>
      <c r="M161" s="240">
        <v>0.98965000000000003</v>
      </c>
      <c r="N161" s="198">
        <f t="shared" si="22"/>
        <v>60.989649999999997</v>
      </c>
      <c r="O161" s="204"/>
    </row>
    <row r="162" spans="2:15" s="18" customFormat="1" ht="21" customHeight="1" x14ac:dyDescent="0.3">
      <c r="B162" s="244"/>
      <c r="C162" s="282"/>
      <c r="D162" s="210"/>
      <c r="E162" s="196"/>
      <c r="F162" s="193"/>
      <c r="G162" s="110">
        <v>2</v>
      </c>
      <c r="H162" s="132"/>
      <c r="I162" s="196"/>
      <c r="J162" s="193"/>
      <c r="K162" s="239"/>
      <c r="L162" s="240"/>
      <c r="M162" s="240"/>
      <c r="N162" s="198"/>
      <c r="O162" s="204"/>
    </row>
    <row r="163" spans="2:15" s="18" customFormat="1" ht="21" customHeight="1" x14ac:dyDescent="0.3">
      <c r="B163" s="244"/>
      <c r="C163" s="282"/>
      <c r="D163" s="210"/>
      <c r="E163" s="196"/>
      <c r="F163" s="193"/>
      <c r="G163" s="110">
        <v>3</v>
      </c>
      <c r="H163" s="132"/>
      <c r="I163" s="196"/>
      <c r="J163" s="193"/>
      <c r="K163" s="239"/>
      <c r="L163" s="240"/>
      <c r="M163" s="240"/>
      <c r="N163" s="198"/>
      <c r="O163" s="204"/>
    </row>
    <row r="164" spans="2:15" s="18" customFormat="1" ht="21" customHeight="1" x14ac:dyDescent="0.3">
      <c r="B164" s="244"/>
      <c r="C164" s="282"/>
      <c r="D164" s="210"/>
      <c r="E164" s="196"/>
      <c r="F164" s="193"/>
      <c r="G164" s="110">
        <v>4</v>
      </c>
      <c r="H164" s="132"/>
      <c r="I164" s="196"/>
      <c r="J164" s="193"/>
      <c r="K164" s="239"/>
      <c r="L164" s="240"/>
      <c r="M164" s="240"/>
      <c r="N164" s="198"/>
      <c r="O164" s="204"/>
    </row>
    <row r="165" spans="2:15" s="18" customFormat="1" ht="21" customHeight="1" x14ac:dyDescent="0.3">
      <c r="B165" s="244"/>
      <c r="C165" s="282"/>
      <c r="D165" s="210"/>
      <c r="E165" s="196"/>
      <c r="F165" s="193"/>
      <c r="G165" s="110">
        <v>5</v>
      </c>
      <c r="H165" s="132"/>
      <c r="I165" s="196"/>
      <c r="J165" s="193"/>
      <c r="K165" s="239"/>
      <c r="L165" s="240"/>
      <c r="M165" s="240"/>
      <c r="N165" s="198"/>
      <c r="O165" s="204"/>
    </row>
    <row r="166" spans="2:15" s="18" customFormat="1" ht="21" customHeight="1" x14ac:dyDescent="0.3">
      <c r="B166" s="244"/>
      <c r="C166" s="282"/>
      <c r="D166" s="210"/>
      <c r="E166" s="196"/>
      <c r="F166" s="193"/>
      <c r="G166" s="110">
        <v>6</v>
      </c>
      <c r="H166" s="132"/>
      <c r="I166" s="196"/>
      <c r="J166" s="193"/>
      <c r="K166" s="239"/>
      <c r="L166" s="240"/>
      <c r="M166" s="240"/>
      <c r="N166" s="198"/>
      <c r="O166" s="204"/>
    </row>
    <row r="167" spans="2:15" s="18" customFormat="1" ht="21" customHeight="1" x14ac:dyDescent="0.3">
      <c r="B167" s="244"/>
      <c r="C167" s="282"/>
      <c r="D167" s="210"/>
      <c r="E167" s="196"/>
      <c r="F167" s="193"/>
      <c r="G167" s="110">
        <v>7</v>
      </c>
      <c r="H167" s="132"/>
      <c r="I167" s="196"/>
      <c r="J167" s="193"/>
      <c r="K167" s="239"/>
      <c r="L167" s="240"/>
      <c r="M167" s="240"/>
      <c r="N167" s="198"/>
      <c r="O167" s="204"/>
    </row>
    <row r="168" spans="2:15" s="18" customFormat="1" ht="21" customHeight="1" thickBot="1" x14ac:dyDescent="0.35">
      <c r="B168" s="245"/>
      <c r="C168" s="283"/>
      <c r="D168" s="211"/>
      <c r="E168" s="197"/>
      <c r="F168" s="194"/>
      <c r="G168" s="115">
        <v>8</v>
      </c>
      <c r="H168" s="133"/>
      <c r="I168" s="197"/>
      <c r="J168" s="194"/>
      <c r="K168" s="239"/>
      <c r="L168" s="240"/>
      <c r="M168" s="240"/>
      <c r="N168" s="198"/>
      <c r="O168" s="204"/>
    </row>
    <row r="169" spans="2:15" s="18" customFormat="1" ht="21" customHeight="1" x14ac:dyDescent="0.3">
      <c r="B169" s="243" t="str">
        <f>+LEFT(C169,3)</f>
        <v>4.6</v>
      </c>
      <c r="C169" s="218" t="s">
        <v>157</v>
      </c>
      <c r="D169" s="209" t="s">
        <v>152</v>
      </c>
      <c r="E169" s="195" t="s">
        <v>352</v>
      </c>
      <c r="F169" s="192">
        <v>3</v>
      </c>
      <c r="G169" s="116">
        <v>1</v>
      </c>
      <c r="H169" s="131" t="s">
        <v>353</v>
      </c>
      <c r="I169" s="195" t="s">
        <v>354</v>
      </c>
      <c r="J169" s="192">
        <v>3</v>
      </c>
      <c r="K169" s="221" t="str">
        <f t="shared" si="20"/>
        <v>Mantenimiento del control</v>
      </c>
      <c r="L169" s="240">
        <f t="shared" si="21"/>
        <v>60</v>
      </c>
      <c r="M169" s="240">
        <v>0.98965199999999998</v>
      </c>
      <c r="N169" s="199">
        <f t="shared" si="22"/>
        <v>60.989652</v>
      </c>
      <c r="O169" s="205"/>
    </row>
    <row r="170" spans="2:15" s="18" customFormat="1" ht="21" customHeight="1" x14ac:dyDescent="0.3">
      <c r="B170" s="244"/>
      <c r="C170" s="219"/>
      <c r="D170" s="210"/>
      <c r="E170" s="196"/>
      <c r="F170" s="193"/>
      <c r="G170" s="110">
        <v>2</v>
      </c>
      <c r="H170" s="132"/>
      <c r="I170" s="196"/>
      <c r="J170" s="193"/>
      <c r="K170" s="222"/>
      <c r="L170" s="240"/>
      <c r="M170" s="240"/>
      <c r="N170" s="199"/>
      <c r="O170" s="205"/>
    </row>
    <row r="171" spans="2:15" s="18" customFormat="1" ht="21" customHeight="1" x14ac:dyDescent="0.3">
      <c r="B171" s="244"/>
      <c r="C171" s="219"/>
      <c r="D171" s="210"/>
      <c r="E171" s="196"/>
      <c r="F171" s="193"/>
      <c r="G171" s="110">
        <v>3</v>
      </c>
      <c r="H171" s="132"/>
      <c r="I171" s="196"/>
      <c r="J171" s="193"/>
      <c r="K171" s="222"/>
      <c r="L171" s="240"/>
      <c r="M171" s="240"/>
      <c r="N171" s="199"/>
      <c r="O171" s="205"/>
    </row>
    <row r="172" spans="2:15" s="18" customFormat="1" ht="21" customHeight="1" x14ac:dyDescent="0.3">
      <c r="B172" s="244"/>
      <c r="C172" s="219"/>
      <c r="D172" s="210"/>
      <c r="E172" s="196"/>
      <c r="F172" s="193"/>
      <c r="G172" s="110">
        <v>4</v>
      </c>
      <c r="H172" s="132"/>
      <c r="I172" s="196"/>
      <c r="J172" s="193"/>
      <c r="K172" s="222"/>
      <c r="L172" s="240"/>
      <c r="M172" s="240"/>
      <c r="N172" s="199"/>
      <c r="O172" s="205"/>
    </row>
    <row r="173" spans="2:15" s="18" customFormat="1" ht="21" customHeight="1" x14ac:dyDescent="0.3">
      <c r="B173" s="244"/>
      <c r="C173" s="219"/>
      <c r="D173" s="210"/>
      <c r="E173" s="196"/>
      <c r="F173" s="193"/>
      <c r="G173" s="110">
        <v>5</v>
      </c>
      <c r="H173" s="132"/>
      <c r="I173" s="196"/>
      <c r="J173" s="193"/>
      <c r="K173" s="222"/>
      <c r="L173" s="240"/>
      <c r="M173" s="240"/>
      <c r="N173" s="199"/>
      <c r="O173" s="205"/>
    </row>
    <row r="174" spans="2:15" s="18" customFormat="1" ht="21" customHeight="1" x14ac:dyDescent="0.3">
      <c r="B174" s="244"/>
      <c r="C174" s="219"/>
      <c r="D174" s="210"/>
      <c r="E174" s="196"/>
      <c r="F174" s="193"/>
      <c r="G174" s="110">
        <v>6</v>
      </c>
      <c r="H174" s="132"/>
      <c r="I174" s="196"/>
      <c r="J174" s="193"/>
      <c r="K174" s="222"/>
      <c r="L174" s="240"/>
      <c r="M174" s="240"/>
      <c r="N174" s="199"/>
      <c r="O174" s="205"/>
    </row>
    <row r="175" spans="2:15" s="18" customFormat="1" ht="21" customHeight="1" x14ac:dyDescent="0.3">
      <c r="B175" s="244"/>
      <c r="C175" s="219"/>
      <c r="D175" s="210"/>
      <c r="E175" s="196"/>
      <c r="F175" s="193"/>
      <c r="G175" s="110">
        <v>7</v>
      </c>
      <c r="H175" s="132"/>
      <c r="I175" s="196"/>
      <c r="J175" s="193"/>
      <c r="K175" s="222"/>
      <c r="L175" s="240"/>
      <c r="M175" s="240"/>
      <c r="N175" s="199"/>
      <c r="O175" s="205"/>
    </row>
    <row r="176" spans="2:15" s="18" customFormat="1" ht="21" customHeight="1" thickBot="1" x14ac:dyDescent="0.35">
      <c r="B176" s="245"/>
      <c r="C176" s="220"/>
      <c r="D176" s="211"/>
      <c r="E176" s="197"/>
      <c r="F176" s="194"/>
      <c r="G176" s="115">
        <v>8</v>
      </c>
      <c r="H176" s="133"/>
      <c r="I176" s="197"/>
      <c r="J176" s="194"/>
      <c r="K176" s="223"/>
      <c r="L176" s="240"/>
      <c r="M176" s="240"/>
      <c r="N176" s="199"/>
      <c r="O176" s="205"/>
    </row>
    <row r="177" spans="2:15" s="18" customFormat="1" ht="21" customHeight="1" x14ac:dyDescent="0.3">
      <c r="B177" s="243" t="str">
        <f>+LEFT(C177,3)</f>
        <v>4.7</v>
      </c>
      <c r="C177" s="284" t="s">
        <v>158</v>
      </c>
      <c r="D177" s="209" t="s">
        <v>152</v>
      </c>
      <c r="E177" s="195" t="s">
        <v>355</v>
      </c>
      <c r="F177" s="212">
        <v>2</v>
      </c>
      <c r="G177" s="116">
        <v>1</v>
      </c>
      <c r="H177" s="131" t="s">
        <v>356</v>
      </c>
      <c r="I177" s="195" t="s">
        <v>357</v>
      </c>
      <c r="J177" s="192">
        <v>1</v>
      </c>
      <c r="K177" s="265" t="str">
        <f t="shared" si="20"/>
        <v>Deficiencia de control (diseño o ejecución)</v>
      </c>
      <c r="L177" s="240">
        <f t="shared" si="21"/>
        <v>20</v>
      </c>
      <c r="M177" s="240">
        <v>1.8962300000000001</v>
      </c>
      <c r="N177" s="191">
        <f t="shared" si="22"/>
        <v>21.896229999999999</v>
      </c>
      <c r="O177" s="202"/>
    </row>
    <row r="178" spans="2:15" s="18" customFormat="1" ht="21" customHeight="1" x14ac:dyDescent="0.3">
      <c r="B178" s="244"/>
      <c r="C178" s="285"/>
      <c r="D178" s="210"/>
      <c r="E178" s="196"/>
      <c r="F178" s="213"/>
      <c r="G178" s="110">
        <v>2</v>
      </c>
      <c r="H178" s="132"/>
      <c r="I178" s="196"/>
      <c r="J178" s="193"/>
      <c r="K178" s="239"/>
      <c r="L178" s="240"/>
      <c r="M178" s="240"/>
      <c r="N178" s="191"/>
      <c r="O178" s="202"/>
    </row>
    <row r="179" spans="2:15" s="18" customFormat="1" ht="21" customHeight="1" x14ac:dyDescent="0.3">
      <c r="B179" s="244"/>
      <c r="C179" s="285"/>
      <c r="D179" s="210"/>
      <c r="E179" s="196"/>
      <c r="F179" s="213"/>
      <c r="G179" s="110">
        <v>3</v>
      </c>
      <c r="H179" s="132"/>
      <c r="I179" s="196"/>
      <c r="J179" s="193"/>
      <c r="K179" s="239"/>
      <c r="L179" s="240"/>
      <c r="M179" s="240"/>
      <c r="N179" s="191"/>
      <c r="O179" s="202"/>
    </row>
    <row r="180" spans="2:15" s="18" customFormat="1" ht="21" customHeight="1" x14ac:dyDescent="0.3">
      <c r="B180" s="244"/>
      <c r="C180" s="285"/>
      <c r="D180" s="210"/>
      <c r="E180" s="196"/>
      <c r="F180" s="213"/>
      <c r="G180" s="110">
        <v>4</v>
      </c>
      <c r="H180" s="132"/>
      <c r="I180" s="196"/>
      <c r="J180" s="193"/>
      <c r="K180" s="239"/>
      <c r="L180" s="240"/>
      <c r="M180" s="240"/>
      <c r="N180" s="191"/>
      <c r="O180" s="202"/>
    </row>
    <row r="181" spans="2:15" s="18" customFormat="1" ht="21" customHeight="1" x14ac:dyDescent="0.3">
      <c r="B181" s="244"/>
      <c r="C181" s="285"/>
      <c r="D181" s="210"/>
      <c r="E181" s="196"/>
      <c r="F181" s="213"/>
      <c r="G181" s="110">
        <v>5</v>
      </c>
      <c r="H181" s="132"/>
      <c r="I181" s="196"/>
      <c r="J181" s="193"/>
      <c r="K181" s="239"/>
      <c r="L181" s="240"/>
      <c r="M181" s="240"/>
      <c r="N181" s="191"/>
      <c r="O181" s="202"/>
    </row>
    <row r="182" spans="2:15" s="18" customFormat="1" ht="21" customHeight="1" x14ac:dyDescent="0.3">
      <c r="B182" s="244"/>
      <c r="C182" s="285"/>
      <c r="D182" s="210"/>
      <c r="E182" s="196"/>
      <c r="F182" s="213"/>
      <c r="G182" s="110">
        <v>6</v>
      </c>
      <c r="H182" s="132"/>
      <c r="I182" s="196"/>
      <c r="J182" s="193"/>
      <c r="K182" s="239"/>
      <c r="L182" s="240"/>
      <c r="M182" s="240"/>
      <c r="N182" s="191"/>
      <c r="O182" s="202"/>
    </row>
    <row r="183" spans="2:15" s="18" customFormat="1" ht="21" customHeight="1" x14ac:dyDescent="0.3">
      <c r="B183" s="244"/>
      <c r="C183" s="285"/>
      <c r="D183" s="210"/>
      <c r="E183" s="196"/>
      <c r="F183" s="213"/>
      <c r="G183" s="110">
        <v>7</v>
      </c>
      <c r="H183" s="132"/>
      <c r="I183" s="196"/>
      <c r="J183" s="193"/>
      <c r="K183" s="239"/>
      <c r="L183" s="240"/>
      <c r="M183" s="240"/>
      <c r="N183" s="191"/>
      <c r="O183" s="202"/>
    </row>
    <row r="184" spans="2:15" s="18" customFormat="1" ht="21" customHeight="1" thickBot="1" x14ac:dyDescent="0.35">
      <c r="B184" s="245"/>
      <c r="C184" s="286"/>
      <c r="D184" s="211"/>
      <c r="E184" s="197"/>
      <c r="F184" s="214"/>
      <c r="G184" s="115">
        <v>8</v>
      </c>
      <c r="H184" s="133"/>
      <c r="I184" s="197"/>
      <c r="J184" s="194"/>
      <c r="K184" s="239"/>
      <c r="L184" s="240"/>
      <c r="M184" s="240"/>
      <c r="N184" s="191"/>
      <c r="O184" s="202"/>
    </row>
    <row r="185" spans="2:15" s="18" customFormat="1" ht="34.5" customHeight="1" x14ac:dyDescent="0.3">
      <c r="B185" s="246"/>
      <c r="C185" s="230" t="s">
        <v>159</v>
      </c>
      <c r="D185" s="232" t="s">
        <v>8</v>
      </c>
      <c r="E185" s="287" t="s">
        <v>114</v>
      </c>
      <c r="F185" s="235" t="s">
        <v>115</v>
      </c>
      <c r="G185" s="276" t="s">
        <v>116</v>
      </c>
      <c r="H185" s="277"/>
      <c r="I185" s="278"/>
      <c r="J185" s="235" t="s">
        <v>117</v>
      </c>
      <c r="K185" s="262" t="s">
        <v>136</v>
      </c>
      <c r="L185" s="241"/>
      <c r="M185" s="241"/>
      <c r="N185" s="200"/>
      <c r="O185" s="203"/>
    </row>
    <row r="186" spans="2:15" s="18" customFormat="1" ht="57" customHeight="1" x14ac:dyDescent="0.3">
      <c r="B186" s="247"/>
      <c r="C186" s="231"/>
      <c r="D186" s="233"/>
      <c r="E186" s="288"/>
      <c r="F186" s="235"/>
      <c r="G186" s="237" t="s">
        <v>13</v>
      </c>
      <c r="H186" s="289" t="s">
        <v>15</v>
      </c>
      <c r="I186" s="279" t="s">
        <v>17</v>
      </c>
      <c r="J186" s="235"/>
      <c r="K186" s="262"/>
      <c r="L186" s="241"/>
      <c r="M186" s="241"/>
      <c r="N186" s="200"/>
      <c r="O186" s="203"/>
    </row>
    <row r="187" spans="2:15" s="18" customFormat="1" ht="24" customHeight="1" thickBot="1" x14ac:dyDescent="0.35">
      <c r="B187" s="247"/>
      <c r="C187" s="231"/>
      <c r="D187" s="234"/>
      <c r="E187" s="280"/>
      <c r="F187" s="236"/>
      <c r="G187" s="238"/>
      <c r="H187" s="279"/>
      <c r="I187" s="280"/>
      <c r="J187" s="236"/>
      <c r="K187" s="263"/>
      <c r="L187" s="241"/>
      <c r="M187" s="241"/>
      <c r="N187" s="200"/>
      <c r="O187" s="203"/>
    </row>
    <row r="188" spans="2:15" ht="16.5" x14ac:dyDescent="0.3">
      <c r="B188" s="243" t="str">
        <f>+LEFT(C188,3)</f>
        <v>5.1</v>
      </c>
      <c r="C188" s="281" t="s">
        <v>160</v>
      </c>
      <c r="D188" s="209" t="s">
        <v>161</v>
      </c>
      <c r="E188" s="195" t="s">
        <v>358</v>
      </c>
      <c r="F188" s="212">
        <v>2</v>
      </c>
      <c r="G188" s="116">
        <v>1</v>
      </c>
      <c r="H188" s="131" t="s">
        <v>347</v>
      </c>
      <c r="I188" s="195" t="s">
        <v>359</v>
      </c>
      <c r="J188" s="192">
        <v>2</v>
      </c>
      <c r="K188" s="239" t="str">
        <f t="shared" ref="K188:K228" si="23">+IF(OR(ISBLANK(F188),ISBLANK(J188)),"",IF(OR(AND(F188=1,J188=1),AND(F188=1,J188=2),AND(F188=1,J188=3)),"Deficiencia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240">
        <f t="shared" ref="L188:L228" si="24">+IF(K188="",0,IF(K188="Deficiencia de control mayor (diseño y ejecución)",4,IF(K188="Deficiencia de control (diseño o ejecución)",20,IF(K188="Oportunidad de mejora",40,60))))</f>
        <v>20</v>
      </c>
      <c r="M188" s="240">
        <v>1.1896</v>
      </c>
      <c r="N188" s="191">
        <f t="shared" ref="N188:N228" si="25">+L188+M188</f>
        <v>21.189599999999999</v>
      </c>
      <c r="O188" s="202"/>
    </row>
    <row r="189" spans="2:15" ht="16.5" x14ac:dyDescent="0.3">
      <c r="B189" s="244"/>
      <c r="C189" s="282"/>
      <c r="D189" s="210"/>
      <c r="E189" s="196"/>
      <c r="F189" s="213"/>
      <c r="G189" s="110">
        <v>2</v>
      </c>
      <c r="H189" s="132"/>
      <c r="I189" s="196"/>
      <c r="J189" s="193"/>
      <c r="K189" s="239"/>
      <c r="L189" s="240"/>
      <c r="M189" s="240"/>
      <c r="N189" s="191"/>
      <c r="O189" s="202"/>
    </row>
    <row r="190" spans="2:15" ht="16.5" x14ac:dyDescent="0.3">
      <c r="B190" s="244"/>
      <c r="C190" s="282"/>
      <c r="D190" s="210"/>
      <c r="E190" s="196"/>
      <c r="F190" s="213"/>
      <c r="G190" s="110">
        <v>3</v>
      </c>
      <c r="H190" s="132"/>
      <c r="I190" s="196"/>
      <c r="J190" s="193"/>
      <c r="K190" s="239"/>
      <c r="L190" s="240"/>
      <c r="M190" s="240"/>
      <c r="N190" s="191"/>
      <c r="O190" s="202"/>
    </row>
    <row r="191" spans="2:15" s="18" customFormat="1" ht="16.5" x14ac:dyDescent="0.3">
      <c r="B191" s="244"/>
      <c r="C191" s="282"/>
      <c r="D191" s="210"/>
      <c r="E191" s="196"/>
      <c r="F191" s="213"/>
      <c r="G191" s="110">
        <v>4</v>
      </c>
      <c r="H191" s="132"/>
      <c r="I191" s="196"/>
      <c r="J191" s="193"/>
      <c r="K191" s="239"/>
      <c r="L191" s="240"/>
      <c r="M191" s="240"/>
      <c r="N191" s="191"/>
      <c r="O191" s="202"/>
    </row>
    <row r="192" spans="2:15" s="18" customFormat="1" ht="16.5" x14ac:dyDescent="0.3">
      <c r="B192" s="244"/>
      <c r="C192" s="282"/>
      <c r="D192" s="210"/>
      <c r="E192" s="196"/>
      <c r="F192" s="213"/>
      <c r="G192" s="110">
        <v>5</v>
      </c>
      <c r="H192" s="132"/>
      <c r="I192" s="196"/>
      <c r="J192" s="193"/>
      <c r="K192" s="239"/>
      <c r="L192" s="240"/>
      <c r="M192" s="240"/>
      <c r="N192" s="191"/>
      <c r="O192" s="202"/>
    </row>
    <row r="193" spans="2:15" s="18" customFormat="1" ht="16.5" x14ac:dyDescent="0.3">
      <c r="B193" s="244"/>
      <c r="C193" s="282"/>
      <c r="D193" s="210"/>
      <c r="E193" s="196"/>
      <c r="F193" s="213"/>
      <c r="G193" s="110">
        <v>6</v>
      </c>
      <c r="H193" s="132"/>
      <c r="I193" s="196"/>
      <c r="J193" s="193"/>
      <c r="K193" s="239"/>
      <c r="L193" s="240"/>
      <c r="M193" s="240"/>
      <c r="N193" s="191"/>
      <c r="O193" s="202"/>
    </row>
    <row r="194" spans="2:15" s="18" customFormat="1" ht="16.5" x14ac:dyDescent="0.3">
      <c r="B194" s="244"/>
      <c r="C194" s="282"/>
      <c r="D194" s="210"/>
      <c r="E194" s="196"/>
      <c r="F194" s="213"/>
      <c r="G194" s="110">
        <v>7</v>
      </c>
      <c r="H194" s="132"/>
      <c r="I194" s="196"/>
      <c r="J194" s="193"/>
      <c r="K194" s="239"/>
      <c r="L194" s="240"/>
      <c r="M194" s="240"/>
      <c r="N194" s="191"/>
      <c r="O194" s="202"/>
    </row>
    <row r="195" spans="2:15" s="18" customFormat="1" ht="17.25" thickBot="1" x14ac:dyDescent="0.35">
      <c r="B195" s="245"/>
      <c r="C195" s="283"/>
      <c r="D195" s="211"/>
      <c r="E195" s="197"/>
      <c r="F195" s="214"/>
      <c r="G195" s="115">
        <v>8</v>
      </c>
      <c r="H195" s="133"/>
      <c r="I195" s="197"/>
      <c r="J195" s="194"/>
      <c r="K195" s="239"/>
      <c r="L195" s="240"/>
      <c r="M195" s="240"/>
      <c r="N195" s="191"/>
      <c r="O195" s="202"/>
    </row>
    <row r="196" spans="2:15" s="18" customFormat="1" ht="16.5" x14ac:dyDescent="0.3">
      <c r="B196" s="243" t="str">
        <f>+LEFT(C196,3)</f>
        <v>5.2</v>
      </c>
      <c r="C196" s="281" t="s">
        <v>162</v>
      </c>
      <c r="D196" s="209" t="s">
        <v>163</v>
      </c>
      <c r="E196" s="195" t="s">
        <v>313</v>
      </c>
      <c r="F196" s="192">
        <v>2</v>
      </c>
      <c r="G196" s="116">
        <v>1</v>
      </c>
      <c r="H196" s="131" t="s">
        <v>347</v>
      </c>
      <c r="I196" s="192" t="s">
        <v>360</v>
      </c>
      <c r="J196" s="192">
        <v>2</v>
      </c>
      <c r="K196" s="239" t="str">
        <f t="shared" si="23"/>
        <v>Deficiencia de control (diseño o ejecución)</v>
      </c>
      <c r="L196" s="240">
        <f t="shared" si="24"/>
        <v>20</v>
      </c>
      <c r="M196" s="240">
        <v>1.28965</v>
      </c>
      <c r="N196" s="191">
        <f t="shared" si="25"/>
        <v>21.289650000000002</v>
      </c>
      <c r="O196" s="202"/>
    </row>
    <row r="197" spans="2:15" s="18" customFormat="1" ht="16.5" x14ac:dyDescent="0.3">
      <c r="B197" s="244"/>
      <c r="C197" s="282"/>
      <c r="D197" s="210"/>
      <c r="E197" s="196"/>
      <c r="F197" s="193"/>
      <c r="G197" s="110">
        <v>2</v>
      </c>
      <c r="H197" s="132"/>
      <c r="I197" s="193"/>
      <c r="J197" s="193"/>
      <c r="K197" s="239"/>
      <c r="L197" s="240"/>
      <c r="M197" s="240"/>
      <c r="N197" s="191"/>
      <c r="O197" s="202"/>
    </row>
    <row r="198" spans="2:15" s="18" customFormat="1" ht="16.5" x14ac:dyDescent="0.3">
      <c r="B198" s="244"/>
      <c r="C198" s="282"/>
      <c r="D198" s="210"/>
      <c r="E198" s="196"/>
      <c r="F198" s="193"/>
      <c r="G198" s="110">
        <v>3</v>
      </c>
      <c r="H198" s="132"/>
      <c r="I198" s="193"/>
      <c r="J198" s="193"/>
      <c r="K198" s="239"/>
      <c r="L198" s="240"/>
      <c r="M198" s="240"/>
      <c r="N198" s="191"/>
      <c r="O198" s="202"/>
    </row>
    <row r="199" spans="2:15" s="18" customFormat="1" ht="16.5" x14ac:dyDescent="0.3">
      <c r="B199" s="244"/>
      <c r="C199" s="282"/>
      <c r="D199" s="210"/>
      <c r="E199" s="196"/>
      <c r="F199" s="193"/>
      <c r="G199" s="110">
        <v>4</v>
      </c>
      <c r="H199" s="132"/>
      <c r="I199" s="193"/>
      <c r="J199" s="193"/>
      <c r="K199" s="239"/>
      <c r="L199" s="240"/>
      <c r="M199" s="240"/>
      <c r="N199" s="191"/>
      <c r="O199" s="202"/>
    </row>
    <row r="200" spans="2:15" s="18" customFormat="1" ht="16.5" x14ac:dyDescent="0.3">
      <c r="B200" s="244"/>
      <c r="C200" s="282"/>
      <c r="D200" s="210"/>
      <c r="E200" s="196"/>
      <c r="F200" s="193"/>
      <c r="G200" s="110">
        <v>5</v>
      </c>
      <c r="H200" s="132"/>
      <c r="I200" s="193"/>
      <c r="J200" s="193"/>
      <c r="K200" s="239"/>
      <c r="L200" s="240"/>
      <c r="M200" s="240"/>
      <c r="N200" s="191"/>
      <c r="O200" s="202"/>
    </row>
    <row r="201" spans="2:15" s="18" customFormat="1" ht="16.5" x14ac:dyDescent="0.3">
      <c r="B201" s="244"/>
      <c r="C201" s="282"/>
      <c r="D201" s="210"/>
      <c r="E201" s="196"/>
      <c r="F201" s="193"/>
      <c r="G201" s="110">
        <v>6</v>
      </c>
      <c r="H201" s="132"/>
      <c r="I201" s="193"/>
      <c r="J201" s="193"/>
      <c r="K201" s="239"/>
      <c r="L201" s="240"/>
      <c r="M201" s="240"/>
      <c r="N201" s="191"/>
      <c r="O201" s="202"/>
    </row>
    <row r="202" spans="2:15" s="18" customFormat="1" ht="16.5" x14ac:dyDescent="0.3">
      <c r="B202" s="244"/>
      <c r="C202" s="282"/>
      <c r="D202" s="210"/>
      <c r="E202" s="196"/>
      <c r="F202" s="193"/>
      <c r="G202" s="110">
        <v>7</v>
      </c>
      <c r="H202" s="132"/>
      <c r="I202" s="193"/>
      <c r="J202" s="193"/>
      <c r="K202" s="239"/>
      <c r="L202" s="240"/>
      <c r="M202" s="240"/>
      <c r="N202" s="191"/>
      <c r="O202" s="202"/>
    </row>
    <row r="203" spans="2:15" s="18" customFormat="1" ht="17.25" thickBot="1" x14ac:dyDescent="0.35">
      <c r="B203" s="245"/>
      <c r="C203" s="283"/>
      <c r="D203" s="211"/>
      <c r="E203" s="197"/>
      <c r="F203" s="194"/>
      <c r="G203" s="115">
        <v>8</v>
      </c>
      <c r="H203" s="133"/>
      <c r="I203" s="194"/>
      <c r="J203" s="194"/>
      <c r="K203" s="239"/>
      <c r="L203" s="240"/>
      <c r="M203" s="240"/>
      <c r="N203" s="191"/>
      <c r="O203" s="202"/>
    </row>
    <row r="204" spans="2:15" s="18" customFormat="1" ht="49.5" x14ac:dyDescent="0.3">
      <c r="B204" s="243" t="str">
        <f>+LEFT(C204,3)</f>
        <v>5.3</v>
      </c>
      <c r="C204" s="281" t="s">
        <v>164</v>
      </c>
      <c r="D204" s="209" t="s">
        <v>165</v>
      </c>
      <c r="E204" s="195" t="s">
        <v>314</v>
      </c>
      <c r="F204" s="192">
        <v>3</v>
      </c>
      <c r="G204" s="116">
        <v>1</v>
      </c>
      <c r="H204" s="140" t="s">
        <v>315</v>
      </c>
      <c r="I204" s="195" t="s">
        <v>361</v>
      </c>
      <c r="J204" s="192">
        <v>3</v>
      </c>
      <c r="K204" s="239" t="str">
        <f t="shared" si="23"/>
        <v>Mantenimiento del control</v>
      </c>
      <c r="L204" s="240">
        <f t="shared" si="24"/>
        <v>60</v>
      </c>
      <c r="M204" s="240">
        <v>1.3896299999999999</v>
      </c>
      <c r="N204" s="191">
        <f t="shared" si="25"/>
        <v>61.389629999999997</v>
      </c>
      <c r="O204" s="202"/>
    </row>
    <row r="205" spans="2:15" s="18" customFormat="1" ht="16.5" x14ac:dyDescent="0.3">
      <c r="B205" s="244"/>
      <c r="C205" s="282"/>
      <c r="D205" s="210"/>
      <c r="E205" s="196"/>
      <c r="F205" s="193"/>
      <c r="G205" s="110">
        <v>2</v>
      </c>
      <c r="H205" s="132"/>
      <c r="I205" s="196"/>
      <c r="J205" s="193"/>
      <c r="K205" s="239"/>
      <c r="L205" s="240"/>
      <c r="M205" s="240"/>
      <c r="N205" s="191"/>
      <c r="O205" s="202"/>
    </row>
    <row r="206" spans="2:15" s="18" customFormat="1" ht="16.5" x14ac:dyDescent="0.3">
      <c r="B206" s="244"/>
      <c r="C206" s="282"/>
      <c r="D206" s="210"/>
      <c r="E206" s="196"/>
      <c r="F206" s="193"/>
      <c r="G206" s="110">
        <v>3</v>
      </c>
      <c r="H206" s="132"/>
      <c r="I206" s="196"/>
      <c r="J206" s="193"/>
      <c r="K206" s="239"/>
      <c r="L206" s="240"/>
      <c r="M206" s="240"/>
      <c r="N206" s="191"/>
      <c r="O206" s="202"/>
    </row>
    <row r="207" spans="2:15" s="18" customFormat="1" ht="16.5" x14ac:dyDescent="0.3">
      <c r="B207" s="244"/>
      <c r="C207" s="282"/>
      <c r="D207" s="210"/>
      <c r="E207" s="196"/>
      <c r="F207" s="193"/>
      <c r="G207" s="110">
        <v>4</v>
      </c>
      <c r="H207" s="132"/>
      <c r="I207" s="196"/>
      <c r="J207" s="193"/>
      <c r="K207" s="239"/>
      <c r="L207" s="240"/>
      <c r="M207" s="240"/>
      <c r="N207" s="191"/>
      <c r="O207" s="202"/>
    </row>
    <row r="208" spans="2:15" s="18" customFormat="1" ht="16.5" x14ac:dyDescent="0.3">
      <c r="B208" s="244"/>
      <c r="C208" s="282"/>
      <c r="D208" s="210"/>
      <c r="E208" s="196"/>
      <c r="F208" s="193"/>
      <c r="G208" s="110">
        <v>5</v>
      </c>
      <c r="H208" s="132"/>
      <c r="I208" s="196"/>
      <c r="J208" s="193"/>
      <c r="K208" s="239"/>
      <c r="L208" s="240"/>
      <c r="M208" s="240"/>
      <c r="N208" s="191"/>
      <c r="O208" s="202"/>
    </row>
    <row r="209" spans="2:15" s="18" customFormat="1" ht="16.5" x14ac:dyDescent="0.3">
      <c r="B209" s="244"/>
      <c r="C209" s="282"/>
      <c r="D209" s="210"/>
      <c r="E209" s="196"/>
      <c r="F209" s="193"/>
      <c r="G209" s="110">
        <v>6</v>
      </c>
      <c r="H209" s="132"/>
      <c r="I209" s="196"/>
      <c r="J209" s="193"/>
      <c r="K209" s="239"/>
      <c r="L209" s="240"/>
      <c r="M209" s="240"/>
      <c r="N209" s="191"/>
      <c r="O209" s="202"/>
    </row>
    <row r="210" spans="2:15" s="18" customFormat="1" ht="16.5" x14ac:dyDescent="0.3">
      <c r="B210" s="244"/>
      <c r="C210" s="282"/>
      <c r="D210" s="210"/>
      <c r="E210" s="196"/>
      <c r="F210" s="193"/>
      <c r="G210" s="110">
        <v>7</v>
      </c>
      <c r="H210" s="132"/>
      <c r="I210" s="196"/>
      <c r="J210" s="193"/>
      <c r="K210" s="239"/>
      <c r="L210" s="240"/>
      <c r="M210" s="240"/>
      <c r="N210" s="191"/>
      <c r="O210" s="202"/>
    </row>
    <row r="211" spans="2:15" s="18" customFormat="1" ht="17.25" thickBot="1" x14ac:dyDescent="0.35">
      <c r="B211" s="245"/>
      <c r="C211" s="283"/>
      <c r="D211" s="211"/>
      <c r="E211" s="197"/>
      <c r="F211" s="194"/>
      <c r="G211" s="115">
        <v>8</v>
      </c>
      <c r="H211" s="133"/>
      <c r="I211" s="197"/>
      <c r="J211" s="194"/>
      <c r="K211" s="239"/>
      <c r="L211" s="240"/>
      <c r="M211" s="240"/>
      <c r="N211" s="191"/>
      <c r="O211" s="202"/>
    </row>
    <row r="212" spans="2:15" ht="20.25" customHeight="1" x14ac:dyDescent="0.3">
      <c r="B212" s="243" t="str">
        <f>+LEFT(C212,3)</f>
        <v>5.4</v>
      </c>
      <c r="C212" s="281" t="s">
        <v>166</v>
      </c>
      <c r="D212" s="209" t="s">
        <v>167</v>
      </c>
      <c r="E212" s="195" t="s">
        <v>362</v>
      </c>
      <c r="F212" s="212">
        <v>3</v>
      </c>
      <c r="G212" s="116">
        <v>1</v>
      </c>
      <c r="H212" s="131" t="s">
        <v>339</v>
      </c>
      <c r="I212" s="195" t="s">
        <v>363</v>
      </c>
      <c r="J212" s="192">
        <v>2</v>
      </c>
      <c r="K212" s="239" t="str">
        <f t="shared" si="23"/>
        <v>Deficiencia de control (diseño o ejecución)</v>
      </c>
      <c r="L212" s="240">
        <f t="shared" si="24"/>
        <v>20</v>
      </c>
      <c r="M212" s="240">
        <v>1.48963</v>
      </c>
      <c r="N212" s="191">
        <f t="shared" si="25"/>
        <v>21.489629999999998</v>
      </c>
      <c r="O212" s="202"/>
    </row>
    <row r="213" spans="2:15" ht="20.25" customHeight="1" x14ac:dyDescent="0.3">
      <c r="B213" s="244"/>
      <c r="C213" s="282"/>
      <c r="D213" s="210"/>
      <c r="E213" s="196"/>
      <c r="F213" s="213"/>
      <c r="G213" s="110">
        <v>2</v>
      </c>
      <c r="H213" s="132"/>
      <c r="I213" s="196"/>
      <c r="J213" s="193"/>
      <c r="K213" s="239"/>
      <c r="L213" s="240"/>
      <c r="M213" s="240"/>
      <c r="N213" s="191"/>
      <c r="O213" s="202"/>
    </row>
    <row r="214" spans="2:15" ht="20.25" customHeight="1" x14ac:dyDescent="0.3">
      <c r="B214" s="244"/>
      <c r="C214" s="282"/>
      <c r="D214" s="210"/>
      <c r="E214" s="196"/>
      <c r="F214" s="213"/>
      <c r="G214" s="110">
        <v>3</v>
      </c>
      <c r="H214" s="132"/>
      <c r="I214" s="196"/>
      <c r="J214" s="193"/>
      <c r="K214" s="239"/>
      <c r="L214" s="240"/>
      <c r="M214" s="240"/>
      <c r="N214" s="191"/>
      <c r="O214" s="202"/>
    </row>
    <row r="215" spans="2:15" s="18" customFormat="1" ht="20.25" customHeight="1" x14ac:dyDescent="0.3">
      <c r="B215" s="244"/>
      <c r="C215" s="282"/>
      <c r="D215" s="210"/>
      <c r="E215" s="196"/>
      <c r="F215" s="213"/>
      <c r="G215" s="110">
        <v>4</v>
      </c>
      <c r="H215" s="132"/>
      <c r="I215" s="196"/>
      <c r="J215" s="193"/>
      <c r="K215" s="239"/>
      <c r="L215" s="240"/>
      <c r="M215" s="240"/>
      <c r="N215" s="191"/>
      <c r="O215" s="202"/>
    </row>
    <row r="216" spans="2:15" s="18" customFormat="1" ht="20.25" customHeight="1" x14ac:dyDescent="0.3">
      <c r="B216" s="244"/>
      <c r="C216" s="282"/>
      <c r="D216" s="210"/>
      <c r="E216" s="196"/>
      <c r="F216" s="213"/>
      <c r="G216" s="110">
        <v>5</v>
      </c>
      <c r="H216" s="132"/>
      <c r="I216" s="196"/>
      <c r="J216" s="193"/>
      <c r="K216" s="239"/>
      <c r="L216" s="240"/>
      <c r="M216" s="240"/>
      <c r="N216" s="191"/>
      <c r="O216" s="202"/>
    </row>
    <row r="217" spans="2:15" s="18" customFormat="1" ht="20.25" customHeight="1" x14ac:dyDescent="0.3">
      <c r="B217" s="244"/>
      <c r="C217" s="282"/>
      <c r="D217" s="210"/>
      <c r="E217" s="196"/>
      <c r="F217" s="213"/>
      <c r="G217" s="110">
        <v>6</v>
      </c>
      <c r="H217" s="132"/>
      <c r="I217" s="196"/>
      <c r="J217" s="193"/>
      <c r="K217" s="239"/>
      <c r="L217" s="240"/>
      <c r="M217" s="240"/>
      <c r="N217" s="191"/>
      <c r="O217" s="202"/>
    </row>
    <row r="218" spans="2:15" s="18" customFormat="1" ht="37.5" customHeight="1" x14ac:dyDescent="0.3">
      <c r="B218" s="244"/>
      <c r="C218" s="282"/>
      <c r="D218" s="210"/>
      <c r="E218" s="196"/>
      <c r="F218" s="213"/>
      <c r="G218" s="110">
        <v>7</v>
      </c>
      <c r="H218" s="132"/>
      <c r="I218" s="196"/>
      <c r="J218" s="193"/>
      <c r="K218" s="239"/>
      <c r="L218" s="240"/>
      <c r="M218" s="240"/>
      <c r="N218" s="191"/>
      <c r="O218" s="202"/>
    </row>
    <row r="219" spans="2:15" s="18" customFormat="1" ht="23.25" customHeight="1" thickBot="1" x14ac:dyDescent="0.35">
      <c r="B219" s="245"/>
      <c r="C219" s="283"/>
      <c r="D219" s="211"/>
      <c r="E219" s="197"/>
      <c r="F219" s="214"/>
      <c r="G219" s="115">
        <v>8</v>
      </c>
      <c r="H219" s="133"/>
      <c r="I219" s="197"/>
      <c r="J219" s="194"/>
      <c r="K219" s="239"/>
      <c r="L219" s="240"/>
      <c r="M219" s="240"/>
      <c r="N219" s="191"/>
      <c r="O219" s="202"/>
    </row>
    <row r="220" spans="2:15" s="18" customFormat="1" ht="20.25" customHeight="1" x14ac:dyDescent="0.3">
      <c r="B220" s="243" t="str">
        <f>+LEFT(C220,3)</f>
        <v>5.5</v>
      </c>
      <c r="C220" s="281" t="s">
        <v>168</v>
      </c>
      <c r="D220" s="209" t="s">
        <v>169</v>
      </c>
      <c r="E220" s="195" t="s">
        <v>310</v>
      </c>
      <c r="F220" s="192">
        <v>3</v>
      </c>
      <c r="G220" s="116">
        <v>1</v>
      </c>
      <c r="H220" s="140" t="s">
        <v>364</v>
      </c>
      <c r="I220" s="195" t="s">
        <v>365</v>
      </c>
      <c r="J220" s="192">
        <v>3</v>
      </c>
      <c r="K220" s="239" t="str">
        <f t="shared" si="23"/>
        <v>Mantenimiento del control</v>
      </c>
      <c r="L220" s="240">
        <f t="shared" si="24"/>
        <v>60</v>
      </c>
      <c r="M220" s="240">
        <v>1.58965</v>
      </c>
      <c r="N220" s="191">
        <f t="shared" si="25"/>
        <v>61.589649999999999</v>
      </c>
      <c r="O220" s="202"/>
    </row>
    <row r="221" spans="2:15" s="18" customFormat="1" ht="20.25" customHeight="1" x14ac:dyDescent="0.3">
      <c r="B221" s="244"/>
      <c r="C221" s="282"/>
      <c r="D221" s="210"/>
      <c r="E221" s="196"/>
      <c r="F221" s="193"/>
      <c r="G221" s="110">
        <v>2</v>
      </c>
      <c r="H221" s="132"/>
      <c r="I221" s="196"/>
      <c r="J221" s="193"/>
      <c r="K221" s="239"/>
      <c r="L221" s="240"/>
      <c r="M221" s="240"/>
      <c r="N221" s="191"/>
      <c r="O221" s="202"/>
    </row>
    <row r="222" spans="2:15" s="18" customFormat="1" ht="20.25" customHeight="1" x14ac:dyDescent="0.3">
      <c r="B222" s="244"/>
      <c r="C222" s="282"/>
      <c r="D222" s="210"/>
      <c r="E222" s="196"/>
      <c r="F222" s="193"/>
      <c r="G222" s="110">
        <v>3</v>
      </c>
      <c r="H222" s="132"/>
      <c r="I222" s="196"/>
      <c r="J222" s="193"/>
      <c r="K222" s="239"/>
      <c r="L222" s="240"/>
      <c r="M222" s="240"/>
      <c r="N222" s="191"/>
      <c r="O222" s="202"/>
    </row>
    <row r="223" spans="2:15" s="18" customFormat="1" ht="20.25" customHeight="1" x14ac:dyDescent="0.3">
      <c r="B223" s="244"/>
      <c r="C223" s="282"/>
      <c r="D223" s="210"/>
      <c r="E223" s="196"/>
      <c r="F223" s="193"/>
      <c r="G223" s="110">
        <v>4</v>
      </c>
      <c r="H223" s="132"/>
      <c r="I223" s="196"/>
      <c r="J223" s="193"/>
      <c r="K223" s="239"/>
      <c r="L223" s="240"/>
      <c r="M223" s="240"/>
      <c r="N223" s="191"/>
      <c r="O223" s="202"/>
    </row>
    <row r="224" spans="2:15" s="18" customFormat="1" ht="20.25" customHeight="1" x14ac:dyDescent="0.3">
      <c r="B224" s="244"/>
      <c r="C224" s="282"/>
      <c r="D224" s="210"/>
      <c r="E224" s="196"/>
      <c r="F224" s="193"/>
      <c r="G224" s="110">
        <v>5</v>
      </c>
      <c r="H224" s="132"/>
      <c r="I224" s="196"/>
      <c r="J224" s="193"/>
      <c r="K224" s="239"/>
      <c r="L224" s="240"/>
      <c r="M224" s="240"/>
      <c r="N224" s="191"/>
      <c r="O224" s="202"/>
    </row>
    <row r="225" spans="1:15" s="18" customFormat="1" ht="20.25" customHeight="1" x14ac:dyDescent="0.3">
      <c r="B225" s="244"/>
      <c r="C225" s="282"/>
      <c r="D225" s="210"/>
      <c r="E225" s="196"/>
      <c r="F225" s="193"/>
      <c r="G225" s="110">
        <v>6</v>
      </c>
      <c r="H225" s="132"/>
      <c r="I225" s="196"/>
      <c r="J225" s="193"/>
      <c r="K225" s="239"/>
      <c r="L225" s="240"/>
      <c r="M225" s="240"/>
      <c r="N225" s="191"/>
      <c r="O225" s="202"/>
    </row>
    <row r="226" spans="1:15" s="18" customFormat="1" ht="20.25" customHeight="1" x14ac:dyDescent="0.3">
      <c r="B226" s="244"/>
      <c r="C226" s="282"/>
      <c r="D226" s="210"/>
      <c r="E226" s="196"/>
      <c r="F226" s="193"/>
      <c r="G226" s="110">
        <v>7</v>
      </c>
      <c r="H226" s="132"/>
      <c r="I226" s="196"/>
      <c r="J226" s="193"/>
      <c r="K226" s="239"/>
      <c r="L226" s="240"/>
      <c r="M226" s="240"/>
      <c r="N226" s="191"/>
      <c r="O226" s="202"/>
    </row>
    <row r="227" spans="1:15" s="18" customFormat="1" ht="20.25" customHeight="1" thickBot="1" x14ac:dyDescent="0.35">
      <c r="B227" s="245"/>
      <c r="C227" s="283"/>
      <c r="D227" s="211"/>
      <c r="E227" s="197"/>
      <c r="F227" s="194"/>
      <c r="G227" s="115">
        <v>8</v>
      </c>
      <c r="H227" s="133"/>
      <c r="I227" s="197"/>
      <c r="J227" s="194"/>
      <c r="K227" s="239"/>
      <c r="L227" s="240"/>
      <c r="M227" s="240"/>
      <c r="N227" s="191"/>
      <c r="O227" s="202"/>
    </row>
    <row r="228" spans="1:15" ht="26.25" customHeight="1" x14ac:dyDescent="0.3">
      <c r="B228" s="243" t="str">
        <f>+LEFT(C228,3)</f>
        <v>5.6</v>
      </c>
      <c r="C228" s="281" t="s">
        <v>170</v>
      </c>
      <c r="D228" s="209" t="s">
        <v>169</v>
      </c>
      <c r="E228" s="195" t="s">
        <v>311</v>
      </c>
      <c r="F228" s="212">
        <v>2</v>
      </c>
      <c r="G228" s="116">
        <v>1</v>
      </c>
      <c r="H228" s="131" t="s">
        <v>316</v>
      </c>
      <c r="I228" s="195" t="s">
        <v>366</v>
      </c>
      <c r="J228" s="192">
        <v>3</v>
      </c>
      <c r="K228" s="239" t="str">
        <f t="shared" si="23"/>
        <v>Oportunidad de mejora</v>
      </c>
      <c r="L228" s="240">
        <f t="shared" si="24"/>
        <v>40</v>
      </c>
      <c r="M228" s="240">
        <v>1.6896530000000001</v>
      </c>
      <c r="N228" s="191">
        <f t="shared" si="25"/>
        <v>41.689653</v>
      </c>
      <c r="O228" s="202"/>
    </row>
    <row r="229" spans="1:15" ht="20.100000000000001" customHeight="1" x14ac:dyDescent="0.3">
      <c r="B229" s="244"/>
      <c r="C229" s="282"/>
      <c r="D229" s="210"/>
      <c r="E229" s="196"/>
      <c r="F229" s="213"/>
      <c r="G229" s="110">
        <v>2</v>
      </c>
      <c r="H229" s="132"/>
      <c r="I229" s="196"/>
      <c r="J229" s="193"/>
      <c r="K229" s="239"/>
      <c r="L229" s="240"/>
      <c r="M229" s="240"/>
      <c r="N229" s="191"/>
      <c r="O229" s="202"/>
    </row>
    <row r="230" spans="1:15" s="18" customFormat="1" ht="20.100000000000001" customHeight="1" x14ac:dyDescent="0.3">
      <c r="B230" s="244"/>
      <c r="C230" s="282"/>
      <c r="D230" s="210"/>
      <c r="E230" s="196"/>
      <c r="F230" s="213"/>
      <c r="G230" s="110">
        <v>3</v>
      </c>
      <c r="H230" s="132"/>
      <c r="I230" s="196"/>
      <c r="J230" s="193"/>
      <c r="K230" s="239"/>
      <c r="L230" s="240"/>
      <c r="M230" s="240"/>
      <c r="N230" s="191"/>
      <c r="O230" s="202"/>
    </row>
    <row r="231" spans="1:15" s="18" customFormat="1" ht="20.100000000000001" customHeight="1" x14ac:dyDescent="0.3">
      <c r="B231" s="244"/>
      <c r="C231" s="282"/>
      <c r="D231" s="210"/>
      <c r="E231" s="196"/>
      <c r="F231" s="213"/>
      <c r="G231" s="110">
        <v>4</v>
      </c>
      <c r="H231" s="132"/>
      <c r="I231" s="196"/>
      <c r="J231" s="193"/>
      <c r="K231" s="239"/>
      <c r="L231" s="240"/>
      <c r="M231" s="240"/>
      <c r="N231" s="191"/>
      <c r="O231" s="202"/>
    </row>
    <row r="232" spans="1:15" s="18" customFormat="1" ht="20.100000000000001" customHeight="1" x14ac:dyDescent="0.3">
      <c r="B232" s="244"/>
      <c r="C232" s="282"/>
      <c r="D232" s="210"/>
      <c r="E232" s="196"/>
      <c r="F232" s="213"/>
      <c r="G232" s="110">
        <v>5</v>
      </c>
      <c r="H232" s="132"/>
      <c r="I232" s="196"/>
      <c r="J232" s="193"/>
      <c r="K232" s="239"/>
      <c r="L232" s="240"/>
      <c r="M232" s="240"/>
      <c r="N232" s="191"/>
      <c r="O232" s="202"/>
    </row>
    <row r="233" spans="1:15" s="18" customFormat="1" ht="20.100000000000001" customHeight="1" x14ac:dyDescent="0.3">
      <c r="B233" s="244"/>
      <c r="C233" s="282"/>
      <c r="D233" s="210"/>
      <c r="E233" s="196"/>
      <c r="F233" s="213"/>
      <c r="G233" s="110">
        <v>6</v>
      </c>
      <c r="H233" s="132"/>
      <c r="I233" s="196"/>
      <c r="J233" s="193"/>
      <c r="K233" s="239"/>
      <c r="L233" s="240"/>
      <c r="M233" s="240"/>
      <c r="N233" s="191"/>
      <c r="O233" s="202"/>
    </row>
    <row r="234" spans="1:15" s="18" customFormat="1" ht="20.100000000000001" customHeight="1" x14ac:dyDescent="0.3">
      <c r="B234" s="244"/>
      <c r="C234" s="282"/>
      <c r="D234" s="210"/>
      <c r="E234" s="196"/>
      <c r="F234" s="213"/>
      <c r="G234" s="110">
        <v>7</v>
      </c>
      <c r="H234" s="132"/>
      <c r="I234" s="196"/>
      <c r="J234" s="193"/>
      <c r="K234" s="239"/>
      <c r="L234" s="240"/>
      <c r="M234" s="240"/>
      <c r="N234" s="191"/>
      <c r="O234" s="202"/>
    </row>
    <row r="235" spans="1:15" s="18" customFormat="1" ht="20.100000000000001" customHeight="1" thickBot="1" x14ac:dyDescent="0.35">
      <c r="B235" s="245"/>
      <c r="C235" s="283"/>
      <c r="D235" s="211"/>
      <c r="E235" s="197"/>
      <c r="F235" s="214"/>
      <c r="G235" s="115">
        <v>8</v>
      </c>
      <c r="H235" s="133"/>
      <c r="I235" s="197"/>
      <c r="J235" s="194"/>
      <c r="K235" s="239"/>
      <c r="L235" s="240"/>
      <c r="M235" s="240"/>
      <c r="N235" s="191"/>
      <c r="O235" s="202"/>
    </row>
    <row r="236" spans="1:15" ht="22.5" customHeight="1" x14ac:dyDescent="0.3">
      <c r="A236" s="18"/>
    </row>
    <row r="237" spans="1:15" ht="12" customHeight="1" x14ac:dyDescent="0.3">
      <c r="A237" s="18"/>
      <c r="B237" s="107"/>
      <c r="C237" s="18"/>
      <c r="D237" s="18"/>
      <c r="E237" s="18"/>
      <c r="F237" s="18"/>
      <c r="G237" s="18"/>
      <c r="H237" s="18"/>
      <c r="I237" s="18"/>
    </row>
    <row r="238" spans="1:15" ht="22.5" customHeight="1" x14ac:dyDescent="0.3"/>
    <row r="239" spans="1:15" ht="22.5" customHeight="1" x14ac:dyDescent="0.3"/>
    <row r="240" spans="1:15" ht="22.5" customHeight="1" x14ac:dyDescent="0.3"/>
    <row r="241" ht="22.5" customHeight="1" x14ac:dyDescent="0.3"/>
    <row r="242" ht="22.5" customHeight="1" x14ac:dyDescent="0.3"/>
    <row r="243" ht="22.5" customHeight="1" x14ac:dyDescent="0.3"/>
    <row r="244" ht="22.5" customHeight="1" x14ac:dyDescent="0.3"/>
    <row r="245" ht="22.5" customHeight="1" x14ac:dyDescent="0.3"/>
    <row r="246" ht="22.5" customHeight="1" x14ac:dyDescent="0.3"/>
    <row r="247" ht="22.5" customHeight="1" x14ac:dyDescent="0.3"/>
    <row r="248" ht="22.5" customHeight="1" x14ac:dyDescent="0.3"/>
    <row r="249" ht="22.5" customHeight="1" x14ac:dyDescent="0.3"/>
    <row r="250" ht="22.5" customHeight="1" x14ac:dyDescent="0.3"/>
    <row r="251" ht="22.5" customHeight="1" x14ac:dyDescent="0.3"/>
    <row r="252" ht="22.5" customHeight="1" x14ac:dyDescent="0.3"/>
    <row r="253" ht="22.5" customHeight="1" x14ac:dyDescent="0.3"/>
    <row r="254" ht="22.5" customHeight="1" x14ac:dyDescent="0.3"/>
    <row r="255" ht="22.5" customHeight="1" x14ac:dyDescent="0.3"/>
    <row r="256" ht="22.5" customHeight="1" x14ac:dyDescent="0.3"/>
    <row r="257" ht="22.5" customHeight="1" x14ac:dyDescent="0.3"/>
    <row r="258" ht="22.5" customHeight="1" x14ac:dyDescent="0.3"/>
    <row r="259" ht="22.5" customHeight="1" x14ac:dyDescent="0.3"/>
    <row r="260" ht="22.5" customHeight="1" x14ac:dyDescent="0.3"/>
    <row r="261" ht="22.5" customHeight="1" x14ac:dyDescent="0.3"/>
    <row r="262" ht="22.5" customHeight="1" x14ac:dyDescent="0.3"/>
    <row r="263" ht="22.5" customHeight="1" x14ac:dyDescent="0.3"/>
    <row r="264" ht="22.5" customHeight="1" x14ac:dyDescent="0.3"/>
    <row r="265" ht="22.5" customHeight="1" x14ac:dyDescent="0.3"/>
    <row r="266" ht="22.5" customHeight="1" x14ac:dyDescent="0.3"/>
    <row r="267" ht="22.5" customHeight="1" x14ac:dyDescent="0.3"/>
    <row r="268" ht="22.5" customHeight="1" x14ac:dyDescent="0.3"/>
    <row r="269" ht="22.5" customHeight="1" x14ac:dyDescent="0.3"/>
    <row r="270" ht="22.5" customHeight="1" x14ac:dyDescent="0.3"/>
    <row r="271" ht="22.5" customHeight="1" x14ac:dyDescent="0.3"/>
    <row r="272" ht="22.5" customHeight="1" x14ac:dyDescent="0.3"/>
    <row r="273" ht="22.5" customHeight="1" x14ac:dyDescent="0.3"/>
    <row r="274" ht="22.5" customHeight="1" x14ac:dyDescent="0.3"/>
    <row r="275" ht="22.5" customHeight="1" x14ac:dyDescent="0.3"/>
    <row r="276" ht="22.5" customHeight="1" x14ac:dyDescent="0.3"/>
    <row r="277" ht="22.5" customHeight="1" x14ac:dyDescent="0.3"/>
    <row r="278" ht="22.5" customHeight="1" x14ac:dyDescent="0.3"/>
    <row r="279" ht="22.5" customHeight="1" x14ac:dyDescent="0.3"/>
    <row r="280" ht="22.5" customHeight="1" x14ac:dyDescent="0.3"/>
    <row r="281" ht="22.5" customHeight="1" x14ac:dyDescent="0.3"/>
    <row r="282" ht="22.5" customHeight="1" x14ac:dyDescent="0.3"/>
    <row r="283" ht="22.5" customHeight="1" x14ac:dyDescent="0.3"/>
    <row r="284" ht="22.5" customHeight="1" x14ac:dyDescent="0.3"/>
    <row r="285" ht="22.5" customHeight="1" x14ac:dyDescent="0.3"/>
    <row r="286" ht="22.5" customHeight="1" x14ac:dyDescent="0.3"/>
    <row r="287" ht="22.5" customHeight="1" x14ac:dyDescent="0.3"/>
    <row r="288" ht="22.5" customHeight="1" x14ac:dyDescent="0.3"/>
    <row r="289" ht="22.5" customHeight="1" x14ac:dyDescent="0.3"/>
    <row r="290" ht="22.5" customHeight="1" x14ac:dyDescent="0.3"/>
    <row r="291" ht="22.5" customHeight="1" x14ac:dyDescent="0.3"/>
    <row r="292" ht="22.5" customHeight="1" x14ac:dyDescent="0.3"/>
    <row r="293" ht="22.5" customHeight="1" x14ac:dyDescent="0.3"/>
    <row r="294" ht="22.5" customHeight="1" x14ac:dyDescent="0.3"/>
    <row r="295" ht="22.5" customHeight="1" x14ac:dyDescent="0.3"/>
    <row r="296" ht="22.5" customHeight="1" x14ac:dyDescent="0.3"/>
    <row r="297" ht="22.5" customHeight="1" x14ac:dyDescent="0.3"/>
    <row r="298" ht="22.5" customHeight="1" x14ac:dyDescent="0.3"/>
    <row r="299" ht="22.5" customHeight="1" x14ac:dyDescent="0.3"/>
    <row r="300" ht="22.5" customHeight="1" x14ac:dyDescent="0.3"/>
    <row r="301" ht="22.5" customHeight="1" x14ac:dyDescent="0.3"/>
    <row r="302" ht="22.5" customHeight="1" x14ac:dyDescent="0.3"/>
    <row r="303" ht="22.5" customHeight="1" x14ac:dyDescent="0.3"/>
    <row r="304" ht="22.5" customHeight="1" x14ac:dyDescent="0.3"/>
    <row r="305" ht="22.5" customHeight="1" x14ac:dyDescent="0.3"/>
    <row r="306" ht="22.5" customHeight="1" x14ac:dyDescent="0.3"/>
    <row r="307" ht="22.5" customHeight="1" x14ac:dyDescent="0.3"/>
    <row r="308" ht="22.5" customHeight="1" x14ac:dyDescent="0.3"/>
    <row r="309" ht="22.5" customHeight="1" x14ac:dyDescent="0.3"/>
    <row r="310" ht="22.5" customHeight="1" x14ac:dyDescent="0.3"/>
    <row r="311" ht="22.5" customHeight="1" x14ac:dyDescent="0.3"/>
    <row r="312" ht="22.5" customHeight="1" x14ac:dyDescent="0.3"/>
    <row r="313" ht="22.5" customHeight="1" x14ac:dyDescent="0.3"/>
    <row r="314" ht="22.5" customHeight="1" x14ac:dyDescent="0.3"/>
    <row r="315" ht="22.5" customHeight="1" x14ac:dyDescent="0.3"/>
    <row r="316" ht="22.5" customHeight="1" x14ac:dyDescent="0.3"/>
    <row r="317" ht="22.5" customHeight="1" x14ac:dyDescent="0.3"/>
    <row r="318" ht="22.5" customHeight="1" x14ac:dyDescent="0.3"/>
    <row r="319" ht="22.5" customHeight="1" x14ac:dyDescent="0.3"/>
    <row r="320" ht="22.5" customHeight="1" x14ac:dyDescent="0.3"/>
    <row r="321" ht="22.5" customHeight="1" x14ac:dyDescent="0.3"/>
    <row r="322" ht="22.5" customHeight="1" x14ac:dyDescent="0.3"/>
    <row r="323" ht="22.5" customHeight="1" x14ac:dyDescent="0.3"/>
    <row r="324" ht="22.5" customHeight="1" x14ac:dyDescent="0.3"/>
    <row r="325" ht="22.5" customHeight="1" x14ac:dyDescent="0.3"/>
    <row r="326" ht="22.5" customHeight="1" x14ac:dyDescent="0.3"/>
    <row r="327" ht="22.5" customHeight="1" x14ac:dyDescent="0.3"/>
    <row r="328" ht="22.5" customHeight="1" x14ac:dyDescent="0.3"/>
    <row r="329" ht="22.5" customHeight="1" x14ac:dyDescent="0.3"/>
    <row r="330" ht="22.5" customHeight="1" x14ac:dyDescent="0.3"/>
    <row r="331" ht="22.5" customHeight="1" x14ac:dyDescent="0.3"/>
    <row r="332" ht="22.5" customHeight="1" x14ac:dyDescent="0.3"/>
    <row r="333" ht="22.5" customHeight="1" x14ac:dyDescent="0.3"/>
    <row r="334" ht="22.5" customHeight="1" x14ac:dyDescent="0.3"/>
    <row r="335" ht="22.5" customHeight="1" x14ac:dyDescent="0.3"/>
    <row r="336" ht="22.5" customHeight="1" x14ac:dyDescent="0.3"/>
    <row r="337" ht="22.5" customHeight="1" x14ac:dyDescent="0.3"/>
    <row r="338" ht="22.5" customHeight="1" x14ac:dyDescent="0.3"/>
    <row r="339" ht="22.5" customHeight="1" x14ac:dyDescent="0.3"/>
    <row r="340" ht="22.5" customHeight="1" x14ac:dyDescent="0.3"/>
    <row r="341" ht="22.5" customHeight="1" x14ac:dyDescent="0.3"/>
    <row r="342" ht="22.5" customHeight="1" x14ac:dyDescent="0.3"/>
    <row r="343" ht="22.5" customHeight="1" x14ac:dyDescent="0.3"/>
    <row r="344" ht="22.5" customHeight="1" x14ac:dyDescent="0.3"/>
    <row r="345" ht="22.5" customHeight="1" x14ac:dyDescent="0.3"/>
    <row r="346" ht="22.5" customHeight="1" x14ac:dyDescent="0.3"/>
    <row r="347" ht="22.5" customHeight="1" x14ac:dyDescent="0.3"/>
    <row r="348" ht="22.5" customHeight="1" x14ac:dyDescent="0.3"/>
    <row r="349" ht="22.5" customHeight="1" x14ac:dyDescent="0.3"/>
    <row r="350" ht="22.5" customHeight="1" x14ac:dyDescent="0.3"/>
    <row r="351" ht="22.5" customHeight="1" x14ac:dyDescent="0.3"/>
    <row r="352" ht="22.5" customHeight="1" x14ac:dyDescent="0.3"/>
  </sheetData>
  <sheetProtection algorithmName="SHA-512" hashValue="aDshBhmzNXhsQTxLIdYt+6x1+NqZa+BUKY47hnusL+GyubKLvR+w0c8hfPcIg3stthY/IV94RBT4lK7HLmOEcQ==" saltValue="2r/55Sek4cW80H/oY29DHw==" spinCount="100000" sheet="1" objects="1" scenarios="1" formatCells="0" formatColumns="0" formatRows="0"/>
  <mergeCells count="381">
    <mergeCell ref="I204:I211"/>
    <mergeCell ref="I212:I219"/>
    <mergeCell ref="I220:I227"/>
    <mergeCell ref="I228:I235"/>
    <mergeCell ref="I161:I168"/>
    <mergeCell ref="I56:I63"/>
    <mergeCell ref="I118:I125"/>
    <mergeCell ref="I129:I136"/>
    <mergeCell ref="I137:I144"/>
    <mergeCell ref="I145:I152"/>
    <mergeCell ref="I153:I160"/>
    <mergeCell ref="I177:I184"/>
    <mergeCell ref="I188:I195"/>
    <mergeCell ref="I196:I203"/>
    <mergeCell ref="O169:O176"/>
    <mergeCell ref="A24:A31"/>
    <mergeCell ref="D32:D39"/>
    <mergeCell ref="J32:J39"/>
    <mergeCell ref="K32:K39"/>
    <mergeCell ref="C145:C152"/>
    <mergeCell ref="J161:J168"/>
    <mergeCell ref="J145:J152"/>
    <mergeCell ref="J118:J125"/>
    <mergeCell ref="F118:F125"/>
    <mergeCell ref="E118:E125"/>
    <mergeCell ref="D118:D125"/>
    <mergeCell ref="C118:C125"/>
    <mergeCell ref="C110:C117"/>
    <mergeCell ref="J110:J117"/>
    <mergeCell ref="F110:F117"/>
    <mergeCell ref="D137:D144"/>
    <mergeCell ref="E137:E144"/>
    <mergeCell ref="F137:F144"/>
    <mergeCell ref="J137:J144"/>
    <mergeCell ref="C129:C136"/>
    <mergeCell ref="D129:D136"/>
    <mergeCell ref="E129:E136"/>
    <mergeCell ref="F129:F136"/>
    <mergeCell ref="C137:C144"/>
    <mergeCell ref="D145:D152"/>
    <mergeCell ref="F145:F152"/>
    <mergeCell ref="C21:C23"/>
    <mergeCell ref="D21:D23"/>
    <mergeCell ref="F21:F23"/>
    <mergeCell ref="J21:J23"/>
    <mergeCell ref="E21:E23"/>
    <mergeCell ref="C18:K18"/>
    <mergeCell ref="C19:K19"/>
    <mergeCell ref="C48:C55"/>
    <mergeCell ref="D48:D55"/>
    <mergeCell ref="E48:E55"/>
    <mergeCell ref="F48:F55"/>
    <mergeCell ref="J48:J55"/>
    <mergeCell ref="C32:C39"/>
    <mergeCell ref="E32:E39"/>
    <mergeCell ref="F32:F39"/>
    <mergeCell ref="C72:C74"/>
    <mergeCell ref="D72:D74"/>
    <mergeCell ref="F72:F74"/>
    <mergeCell ref="J72:J74"/>
    <mergeCell ref="G73:G74"/>
    <mergeCell ref="H73:H74"/>
    <mergeCell ref="J24:J31"/>
    <mergeCell ref="C40:C47"/>
    <mergeCell ref="D40:D47"/>
    <mergeCell ref="E40:E47"/>
    <mergeCell ref="F40:F47"/>
    <mergeCell ref="J40:J47"/>
    <mergeCell ref="C24:C31"/>
    <mergeCell ref="D24:D31"/>
    <mergeCell ref="E24:E31"/>
    <mergeCell ref="F24:F31"/>
    <mergeCell ref="I32:I39"/>
    <mergeCell ref="E72:E74"/>
    <mergeCell ref="C64:C71"/>
    <mergeCell ref="D64:D71"/>
    <mergeCell ref="E64:E71"/>
    <mergeCell ref="C83:C90"/>
    <mergeCell ref="D83:D90"/>
    <mergeCell ref="E83:E90"/>
    <mergeCell ref="F83:F90"/>
    <mergeCell ref="J83:J90"/>
    <mergeCell ref="C75:C82"/>
    <mergeCell ref="D75:D82"/>
    <mergeCell ref="E75:E82"/>
    <mergeCell ref="F75:F82"/>
    <mergeCell ref="J91:J98"/>
    <mergeCell ref="J99:J101"/>
    <mergeCell ref="G100:G101"/>
    <mergeCell ref="H100:H101"/>
    <mergeCell ref="C99:C101"/>
    <mergeCell ref="D99:D101"/>
    <mergeCell ref="F99:F101"/>
    <mergeCell ref="E99:E101"/>
    <mergeCell ref="I100:I101"/>
    <mergeCell ref="H127:H128"/>
    <mergeCell ref="E126:E128"/>
    <mergeCell ref="D110:D117"/>
    <mergeCell ref="I102:I109"/>
    <mergeCell ref="I110:I117"/>
    <mergeCell ref="G126:I126"/>
    <mergeCell ref="I127:I128"/>
    <mergeCell ref="C91:C98"/>
    <mergeCell ref="D91:D98"/>
    <mergeCell ref="E91:E98"/>
    <mergeCell ref="F91:F98"/>
    <mergeCell ref="C228:C235"/>
    <mergeCell ref="D228:D235"/>
    <mergeCell ref="E228:E235"/>
    <mergeCell ref="F228:F235"/>
    <mergeCell ref="J228:J235"/>
    <mergeCell ref="H186:H187"/>
    <mergeCell ref="C185:C187"/>
    <mergeCell ref="D185:D187"/>
    <mergeCell ref="F185:F187"/>
    <mergeCell ref="J185:J187"/>
    <mergeCell ref="G186:G187"/>
    <mergeCell ref="J188:J195"/>
    <mergeCell ref="C212:C219"/>
    <mergeCell ref="D212:D219"/>
    <mergeCell ref="E212:E219"/>
    <mergeCell ref="F212:F219"/>
    <mergeCell ref="J212:J219"/>
    <mergeCell ref="C188:C195"/>
    <mergeCell ref="D188:D195"/>
    <mergeCell ref="E188:E195"/>
    <mergeCell ref="F188:F195"/>
    <mergeCell ref="C204:C211"/>
    <mergeCell ref="C220:C227"/>
    <mergeCell ref="F204:F211"/>
    <mergeCell ref="K212:K219"/>
    <mergeCell ref="K220:K227"/>
    <mergeCell ref="J220:J227"/>
    <mergeCell ref="J196:J203"/>
    <mergeCell ref="J204:J211"/>
    <mergeCell ref="C153:C160"/>
    <mergeCell ref="D153:D160"/>
    <mergeCell ref="E153:E160"/>
    <mergeCell ref="F153:F160"/>
    <mergeCell ref="J153:J160"/>
    <mergeCell ref="C177:C184"/>
    <mergeCell ref="D177:D184"/>
    <mergeCell ref="E177:E184"/>
    <mergeCell ref="F177:F184"/>
    <mergeCell ref="J177:J184"/>
    <mergeCell ref="C196:C203"/>
    <mergeCell ref="E185:E187"/>
    <mergeCell ref="C161:C168"/>
    <mergeCell ref="D161:D168"/>
    <mergeCell ref="D196:D203"/>
    <mergeCell ref="D204:D211"/>
    <mergeCell ref="D220:D227"/>
    <mergeCell ref="F161:F168"/>
    <mergeCell ref="F196:F203"/>
    <mergeCell ref="F220:F227"/>
    <mergeCell ref="E13:E14"/>
    <mergeCell ref="F13:J14"/>
    <mergeCell ref="F15:J15"/>
    <mergeCell ref="J129:J136"/>
    <mergeCell ref="J75:J82"/>
    <mergeCell ref="F64:F71"/>
    <mergeCell ref="J64:J71"/>
    <mergeCell ref="G22:G23"/>
    <mergeCell ref="H22:H23"/>
    <mergeCell ref="G21:I21"/>
    <mergeCell ref="I22:I23"/>
    <mergeCell ref="I24:I31"/>
    <mergeCell ref="I40:I47"/>
    <mergeCell ref="I48:I55"/>
    <mergeCell ref="I64:I71"/>
    <mergeCell ref="G72:I72"/>
    <mergeCell ref="I73:I74"/>
    <mergeCell ref="I75:I82"/>
    <mergeCell ref="I83:I90"/>
    <mergeCell ref="I91:I98"/>
    <mergeCell ref="G99:I99"/>
    <mergeCell ref="G185:I185"/>
    <mergeCell ref="I186:I187"/>
    <mergeCell ref="K228:K235"/>
    <mergeCell ref="K196:K203"/>
    <mergeCell ref="K21:K23"/>
    <mergeCell ref="K24:K31"/>
    <mergeCell ref="K40:K47"/>
    <mergeCell ref="K48:K55"/>
    <mergeCell ref="K64:K71"/>
    <mergeCell ref="K72:K74"/>
    <mergeCell ref="K99:K101"/>
    <mergeCell ref="K126:K128"/>
    <mergeCell ref="K185:K187"/>
    <mergeCell ref="K75:K82"/>
    <mergeCell ref="K83:K90"/>
    <mergeCell ref="K91:K98"/>
    <mergeCell ref="K102:K109"/>
    <mergeCell ref="K110:K117"/>
    <mergeCell ref="K118:K125"/>
    <mergeCell ref="K129:K136"/>
    <mergeCell ref="K137:K144"/>
    <mergeCell ref="K145:K152"/>
    <mergeCell ref="K153:K160"/>
    <mergeCell ref="K161:K168"/>
    <mergeCell ref="K177:K184"/>
    <mergeCell ref="K188:K195"/>
    <mergeCell ref="B24:B31"/>
    <mergeCell ref="B21:B23"/>
    <mergeCell ref="B40:B47"/>
    <mergeCell ref="B48:B55"/>
    <mergeCell ref="B64:B71"/>
    <mergeCell ref="B72:B74"/>
    <mergeCell ref="B75:B82"/>
    <mergeCell ref="B83:B90"/>
    <mergeCell ref="B91:B98"/>
    <mergeCell ref="B32:B39"/>
    <mergeCell ref="B56:B63"/>
    <mergeCell ref="B99:B101"/>
    <mergeCell ref="B102:B109"/>
    <mergeCell ref="B110:B117"/>
    <mergeCell ref="B118:B125"/>
    <mergeCell ref="B126:B128"/>
    <mergeCell ref="B129:B136"/>
    <mergeCell ref="B137:B144"/>
    <mergeCell ref="B145:B152"/>
    <mergeCell ref="B153:B160"/>
    <mergeCell ref="B161:B168"/>
    <mergeCell ref="B177:B184"/>
    <mergeCell ref="B185:B187"/>
    <mergeCell ref="B188:B195"/>
    <mergeCell ref="B196:B203"/>
    <mergeCell ref="B204:B211"/>
    <mergeCell ref="B212:B219"/>
    <mergeCell ref="B220:B227"/>
    <mergeCell ref="B228:B235"/>
    <mergeCell ref="B169:B176"/>
    <mergeCell ref="L21:L23"/>
    <mergeCell ref="L24:L31"/>
    <mergeCell ref="L40:L47"/>
    <mergeCell ref="L48:L55"/>
    <mergeCell ref="L64:L71"/>
    <mergeCell ref="L72:L74"/>
    <mergeCell ref="L75:L82"/>
    <mergeCell ref="L83:L90"/>
    <mergeCell ref="L91:L98"/>
    <mergeCell ref="L56:L63"/>
    <mergeCell ref="L32:L39"/>
    <mergeCell ref="M169:M176"/>
    <mergeCell ref="L220:L227"/>
    <mergeCell ref="L228:L235"/>
    <mergeCell ref="L99:L101"/>
    <mergeCell ref="L102:L109"/>
    <mergeCell ref="L110:L117"/>
    <mergeCell ref="L118:L125"/>
    <mergeCell ref="L126:L128"/>
    <mergeCell ref="L129:L136"/>
    <mergeCell ref="L137:L144"/>
    <mergeCell ref="L145:L152"/>
    <mergeCell ref="L153:L160"/>
    <mergeCell ref="L161:L168"/>
    <mergeCell ref="L177:L184"/>
    <mergeCell ref="L185:L187"/>
    <mergeCell ref="L188:L195"/>
    <mergeCell ref="L196:L203"/>
    <mergeCell ref="L204:L211"/>
    <mergeCell ref="L212:L219"/>
    <mergeCell ref="L169:L176"/>
    <mergeCell ref="M32:M39"/>
    <mergeCell ref="M188:M195"/>
    <mergeCell ref="M196:M203"/>
    <mergeCell ref="M204:M211"/>
    <mergeCell ref="M212:M219"/>
    <mergeCell ref="M21:M23"/>
    <mergeCell ref="M24:M31"/>
    <mergeCell ref="M40:M47"/>
    <mergeCell ref="M48:M55"/>
    <mergeCell ref="M64:M71"/>
    <mergeCell ref="M72:M74"/>
    <mergeCell ref="M75:M82"/>
    <mergeCell ref="M83:M90"/>
    <mergeCell ref="M91:M98"/>
    <mergeCell ref="M118:M125"/>
    <mergeCell ref="M126:M128"/>
    <mergeCell ref="M129:M136"/>
    <mergeCell ref="M137:M144"/>
    <mergeCell ref="M145:M152"/>
    <mergeCell ref="M153:M160"/>
    <mergeCell ref="M161:M168"/>
    <mergeCell ref="M177:M184"/>
    <mergeCell ref="M185:M187"/>
    <mergeCell ref="M56:M63"/>
    <mergeCell ref="K204:K211"/>
    <mergeCell ref="O220:O227"/>
    <mergeCell ref="O228:O235"/>
    <mergeCell ref="O99:O101"/>
    <mergeCell ref="O102:O109"/>
    <mergeCell ref="O110:O117"/>
    <mergeCell ref="O118:O125"/>
    <mergeCell ref="O126:O128"/>
    <mergeCell ref="O129:O136"/>
    <mergeCell ref="O137:O144"/>
    <mergeCell ref="O145:O152"/>
    <mergeCell ref="O153:O160"/>
    <mergeCell ref="O161:O168"/>
    <mergeCell ref="O177:O184"/>
    <mergeCell ref="O185:O187"/>
    <mergeCell ref="O188:O195"/>
    <mergeCell ref="O196:O203"/>
    <mergeCell ref="O204:O211"/>
    <mergeCell ref="O212:O219"/>
    <mergeCell ref="M220:M227"/>
    <mergeCell ref="M228:M235"/>
    <mergeCell ref="M99:M101"/>
    <mergeCell ref="M102:M109"/>
    <mergeCell ref="M110:M117"/>
    <mergeCell ref="C56:C63"/>
    <mergeCell ref="D56:D63"/>
    <mergeCell ref="E56:E63"/>
    <mergeCell ref="F56:F63"/>
    <mergeCell ref="J56:J63"/>
    <mergeCell ref="K56:K63"/>
    <mergeCell ref="C169:C176"/>
    <mergeCell ref="D169:D176"/>
    <mergeCell ref="E161:E168"/>
    <mergeCell ref="E169:E176"/>
    <mergeCell ref="F169:F176"/>
    <mergeCell ref="I169:I176"/>
    <mergeCell ref="J169:J176"/>
    <mergeCell ref="K169:K176"/>
    <mergeCell ref="C102:C109"/>
    <mergeCell ref="D102:D109"/>
    <mergeCell ref="E102:E109"/>
    <mergeCell ref="F102:F109"/>
    <mergeCell ref="J102:J109"/>
    <mergeCell ref="C126:C128"/>
    <mergeCell ref="D126:D128"/>
    <mergeCell ref="F126:F128"/>
    <mergeCell ref="J126:J128"/>
    <mergeCell ref="G127:G128"/>
    <mergeCell ref="N126:N128"/>
    <mergeCell ref="N129:N136"/>
    <mergeCell ref="N137:N144"/>
    <mergeCell ref="N21:N23"/>
    <mergeCell ref="N24:N31"/>
    <mergeCell ref="O32:O39"/>
    <mergeCell ref="N40:N47"/>
    <mergeCell ref="N48:N55"/>
    <mergeCell ref="N56:N63"/>
    <mergeCell ref="N64:N71"/>
    <mergeCell ref="N72:N74"/>
    <mergeCell ref="N75:N82"/>
    <mergeCell ref="O21:O23"/>
    <mergeCell ref="O24:O31"/>
    <mergeCell ref="O40:O47"/>
    <mergeCell ref="O48:O55"/>
    <mergeCell ref="O64:O71"/>
    <mergeCell ref="O72:O74"/>
    <mergeCell ref="O75:O82"/>
    <mergeCell ref="O83:O90"/>
    <mergeCell ref="O91:O98"/>
    <mergeCell ref="O56:O63"/>
    <mergeCell ref="N212:N219"/>
    <mergeCell ref="N220:N227"/>
    <mergeCell ref="N228:N235"/>
    <mergeCell ref="N32:N39"/>
    <mergeCell ref="E110:E117"/>
    <mergeCell ref="E145:E152"/>
    <mergeCell ref="E196:E203"/>
    <mergeCell ref="E204:E211"/>
    <mergeCell ref="E220:E227"/>
    <mergeCell ref="N145:N152"/>
    <mergeCell ref="N153:N160"/>
    <mergeCell ref="N161:N168"/>
    <mergeCell ref="N169:N176"/>
    <mergeCell ref="N177:N184"/>
    <mergeCell ref="N185:N187"/>
    <mergeCell ref="N188:N195"/>
    <mergeCell ref="N196:N203"/>
    <mergeCell ref="N204:N211"/>
    <mergeCell ref="N83:N90"/>
    <mergeCell ref="N91:N98"/>
    <mergeCell ref="N99:N101"/>
    <mergeCell ref="N102:N109"/>
    <mergeCell ref="N110:N117"/>
    <mergeCell ref="N118:N125"/>
  </mergeCells>
  <dataValidations count="1">
    <dataValidation type="list" allowBlank="1" showInputMessage="1" showErrorMessage="1" sqref="F177:F184 J75:J98 J102:J125 F75:F98 J177 F102:F125 J228 F40:F71 F228:F235 F129:F145 J169 F188:F196 F204 F212:F220 J129 J137 J145 J153 J161 J188 J196 J204 J212 J220 F24:F32 J24:J32 F169 J40:J56 J64:J71 F153 F161">
      <formula1>"1,2,3"</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60" zoomScaleNormal="60" workbookViewId="0">
      <selection activeCell="F22" sqref="F22"/>
    </sheetView>
  </sheetViews>
  <sheetFormatPr baseColWidth="10" defaultColWidth="11.42578125" defaultRowHeight="12.75" x14ac:dyDescent="0.2"/>
  <cols>
    <col min="1" max="1" width="3.140625" style="45" customWidth="1"/>
    <col min="2" max="2" width="3.42578125" style="45" customWidth="1"/>
    <col min="3" max="3" width="35.5703125" style="45" customWidth="1"/>
    <col min="4" max="4" width="2.5703125" style="45" customWidth="1"/>
    <col min="5" max="5" width="38.7109375" style="45" customWidth="1"/>
    <col min="6" max="6" width="10.85546875" style="45" customWidth="1"/>
    <col min="7" max="7" width="23.42578125" style="45" customWidth="1"/>
    <col min="8" max="8" width="7.5703125" style="45" customWidth="1"/>
    <col min="9" max="9" width="68.140625" style="45" customWidth="1"/>
    <col min="10" max="10" width="5.85546875" style="45" customWidth="1"/>
    <col min="11" max="11" width="28.140625" style="45" customWidth="1"/>
    <col min="12" max="12" width="4.28515625" style="45" customWidth="1"/>
    <col min="13" max="13" width="78.7109375" style="45" customWidth="1"/>
    <col min="14" max="14" width="5.85546875" style="45" customWidth="1"/>
    <col min="15" max="15" width="24.85546875" style="45" customWidth="1"/>
    <col min="16" max="16" width="7" style="45" customWidth="1"/>
    <col min="17" max="16384" width="11.42578125" style="45"/>
  </cols>
  <sheetData>
    <row r="1" spans="2:16" ht="13.5" thickBot="1" x14ac:dyDescent="0.25"/>
    <row r="2" spans="2:16" ht="18" customHeight="1" thickTop="1" x14ac:dyDescent="0.2">
      <c r="B2" s="28"/>
      <c r="C2" s="29"/>
      <c r="D2" s="29"/>
      <c r="E2" s="29"/>
      <c r="F2" s="29"/>
      <c r="G2" s="29"/>
      <c r="H2" s="29"/>
      <c r="I2" s="29"/>
      <c r="J2" s="29"/>
      <c r="K2" s="29"/>
      <c r="L2" s="29"/>
      <c r="M2" s="29"/>
      <c r="N2" s="29"/>
      <c r="O2" s="29"/>
      <c r="P2" s="30"/>
    </row>
    <row r="3" spans="2:16" ht="18" customHeight="1" x14ac:dyDescent="0.3">
      <c r="B3" s="31"/>
      <c r="C3" s="32"/>
      <c r="D3" s="32"/>
      <c r="E3" s="332" t="s">
        <v>171</v>
      </c>
      <c r="F3" s="328" t="s">
        <v>376</v>
      </c>
      <c r="G3" s="328"/>
      <c r="H3" s="328"/>
      <c r="I3" s="328"/>
      <c r="J3" s="328"/>
      <c r="K3" s="328"/>
      <c r="L3" s="328"/>
      <c r="M3" s="328"/>
      <c r="N3" s="135"/>
      <c r="O3" s="135"/>
      <c r="P3" s="33"/>
    </row>
    <row r="4" spans="2:16" ht="18" customHeight="1" x14ac:dyDescent="0.3">
      <c r="B4" s="31"/>
      <c r="C4" s="32"/>
      <c r="D4" s="32"/>
      <c r="E4" s="333"/>
      <c r="F4" s="328"/>
      <c r="G4" s="328"/>
      <c r="H4" s="328"/>
      <c r="I4" s="328"/>
      <c r="J4" s="328"/>
      <c r="K4" s="328"/>
      <c r="L4" s="328"/>
      <c r="M4" s="328"/>
      <c r="N4" s="135"/>
      <c r="O4" s="135"/>
      <c r="P4" s="33"/>
    </row>
    <row r="5" spans="2:16" ht="41.25" customHeight="1" x14ac:dyDescent="0.3">
      <c r="B5" s="31"/>
      <c r="C5" s="32"/>
      <c r="D5" s="32"/>
      <c r="E5" s="103" t="s">
        <v>172</v>
      </c>
      <c r="F5" s="329" t="s">
        <v>377</v>
      </c>
      <c r="G5" s="330"/>
      <c r="H5" s="330"/>
      <c r="I5" s="330"/>
      <c r="J5" s="330"/>
      <c r="K5" s="330"/>
      <c r="L5" s="330"/>
      <c r="M5" s="331"/>
      <c r="N5" s="136"/>
      <c r="O5" s="136"/>
      <c r="P5" s="33"/>
    </row>
    <row r="6" spans="2:16" ht="18" customHeight="1" thickBot="1" x14ac:dyDescent="0.35">
      <c r="B6" s="31"/>
      <c r="C6" s="32"/>
      <c r="D6" s="32"/>
      <c r="E6" s="54"/>
      <c r="F6" s="136"/>
      <c r="G6" s="136"/>
      <c r="H6" s="136"/>
      <c r="I6" s="136"/>
      <c r="J6" s="136"/>
      <c r="K6" s="136"/>
      <c r="L6" s="136"/>
      <c r="M6" s="32"/>
      <c r="N6" s="32"/>
      <c r="O6" s="32"/>
      <c r="P6" s="33"/>
    </row>
    <row r="7" spans="2:16" ht="93" customHeight="1" thickBot="1" x14ac:dyDescent="0.25">
      <c r="B7" s="31"/>
      <c r="C7" s="32"/>
      <c r="D7" s="32"/>
      <c r="E7" s="32"/>
      <c r="F7" s="32"/>
      <c r="G7" s="32"/>
      <c r="H7" s="32"/>
      <c r="I7" s="334" t="s">
        <v>173</v>
      </c>
      <c r="J7" s="335"/>
      <c r="K7" s="336"/>
      <c r="L7" s="32"/>
      <c r="M7" s="117" t="e">
        <f>+AVERAGE(G25,G27,G29,G31,G33)</f>
        <v>#REF!</v>
      </c>
      <c r="N7" s="65"/>
      <c r="O7" s="65"/>
      <c r="P7" s="33"/>
    </row>
    <row r="8" spans="2:16" ht="18" customHeight="1" x14ac:dyDescent="0.25">
      <c r="B8" s="31"/>
      <c r="C8" s="32"/>
      <c r="D8" s="32"/>
      <c r="E8" s="32"/>
      <c r="F8" s="32"/>
      <c r="G8" s="32"/>
      <c r="H8" s="32"/>
      <c r="I8" s="32"/>
      <c r="J8" s="32"/>
      <c r="K8" s="32"/>
      <c r="L8" s="32"/>
      <c r="M8" s="56"/>
      <c r="N8" s="56"/>
      <c r="O8" s="56"/>
      <c r="P8" s="33"/>
    </row>
    <row r="9" spans="2:16" ht="18" customHeight="1" x14ac:dyDescent="0.2">
      <c r="B9" s="31"/>
      <c r="C9" s="32"/>
      <c r="D9" s="32"/>
      <c r="E9" s="32"/>
      <c r="F9" s="32"/>
      <c r="G9" s="32"/>
      <c r="H9" s="32"/>
      <c r="I9" s="32"/>
      <c r="J9" s="32"/>
      <c r="K9" s="32"/>
      <c r="L9" s="32"/>
      <c r="M9" s="32"/>
      <c r="N9" s="32"/>
      <c r="O9" s="32"/>
      <c r="P9" s="33"/>
    </row>
    <row r="10" spans="2:16" x14ac:dyDescent="0.2">
      <c r="B10" s="31"/>
      <c r="C10" s="32"/>
      <c r="D10" s="32"/>
      <c r="E10" s="32"/>
      <c r="F10" s="32"/>
      <c r="G10" s="32"/>
      <c r="H10" s="32"/>
      <c r="I10" s="32"/>
      <c r="J10" s="32"/>
      <c r="K10" s="32"/>
      <c r="L10" s="32"/>
      <c r="M10" s="32"/>
      <c r="N10" s="32"/>
      <c r="O10" s="32"/>
      <c r="P10" s="33"/>
    </row>
    <row r="11" spans="2:16" x14ac:dyDescent="0.2">
      <c r="B11" s="31"/>
      <c r="C11" s="32"/>
      <c r="D11" s="32"/>
      <c r="E11" s="32"/>
      <c r="F11" s="32"/>
      <c r="G11" s="32"/>
      <c r="H11" s="32"/>
      <c r="I11" s="32"/>
      <c r="J11" s="32"/>
      <c r="K11" s="32"/>
      <c r="L11" s="32"/>
      <c r="M11" s="32"/>
      <c r="N11" s="32"/>
      <c r="O11" s="32"/>
      <c r="P11" s="33"/>
    </row>
    <row r="12" spans="2:16" x14ac:dyDescent="0.2">
      <c r="B12" s="31"/>
      <c r="C12" s="32"/>
      <c r="D12" s="32"/>
      <c r="E12" s="32"/>
      <c r="F12" s="32"/>
      <c r="G12" s="32"/>
      <c r="H12" s="32"/>
      <c r="I12" s="32"/>
      <c r="J12" s="32"/>
      <c r="K12" s="32"/>
      <c r="L12" s="32"/>
      <c r="M12" s="32"/>
      <c r="N12" s="32"/>
      <c r="O12" s="32"/>
      <c r="P12" s="33"/>
    </row>
    <row r="13" spans="2:16" x14ac:dyDescent="0.2">
      <c r="B13" s="31"/>
      <c r="C13" s="32"/>
      <c r="D13" s="32"/>
      <c r="E13" s="32"/>
      <c r="F13" s="32"/>
      <c r="G13" s="32"/>
      <c r="H13" s="32"/>
      <c r="I13" s="32"/>
      <c r="J13" s="32"/>
      <c r="K13" s="32"/>
      <c r="L13" s="32"/>
      <c r="M13" s="32"/>
      <c r="N13" s="32"/>
      <c r="O13" s="32"/>
      <c r="P13" s="33"/>
    </row>
    <row r="14" spans="2:16" x14ac:dyDescent="0.2">
      <c r="B14" s="31"/>
      <c r="C14" s="32"/>
      <c r="D14" s="32"/>
      <c r="E14" s="32"/>
      <c r="F14" s="32"/>
      <c r="G14" s="32"/>
      <c r="H14" s="32"/>
      <c r="I14" s="32"/>
      <c r="J14" s="32"/>
      <c r="K14" s="32"/>
      <c r="L14" s="32"/>
      <c r="M14" s="32"/>
      <c r="N14" s="32"/>
      <c r="O14" s="32"/>
      <c r="P14" s="33"/>
    </row>
    <row r="15" spans="2:16" x14ac:dyDescent="0.2">
      <c r="B15" s="31"/>
      <c r="C15" s="32"/>
      <c r="D15" s="32"/>
      <c r="E15" s="32"/>
      <c r="F15" s="32"/>
      <c r="G15" s="32"/>
      <c r="H15" s="32"/>
      <c r="I15" s="32"/>
      <c r="J15" s="32"/>
      <c r="K15" s="32"/>
      <c r="L15" s="32"/>
      <c r="M15" s="32"/>
      <c r="N15" s="32"/>
      <c r="O15" s="32"/>
      <c r="P15" s="33"/>
    </row>
    <row r="16" spans="2:16" x14ac:dyDescent="0.2">
      <c r="B16" s="31"/>
      <c r="C16" s="32"/>
      <c r="D16" s="32"/>
      <c r="E16" s="32"/>
      <c r="F16" s="32"/>
      <c r="G16" s="32"/>
      <c r="H16" s="32"/>
      <c r="I16" s="32"/>
      <c r="J16" s="32"/>
      <c r="K16" s="32"/>
      <c r="L16" s="32"/>
      <c r="M16" s="32"/>
      <c r="N16" s="32"/>
      <c r="O16" s="32"/>
      <c r="P16" s="33"/>
    </row>
    <row r="17" spans="2:22" ht="23.25" x14ac:dyDescent="0.2">
      <c r="B17" s="31"/>
      <c r="C17" s="320" t="s">
        <v>174</v>
      </c>
      <c r="D17" s="321"/>
      <c r="E17" s="321"/>
      <c r="F17" s="321"/>
      <c r="G17" s="321"/>
      <c r="H17" s="321"/>
      <c r="I17" s="321"/>
      <c r="J17" s="321"/>
      <c r="K17" s="321"/>
      <c r="L17" s="321"/>
      <c r="M17" s="322"/>
      <c r="N17" s="66"/>
      <c r="O17" s="66"/>
      <c r="P17" s="33"/>
    </row>
    <row r="18" spans="2:22" ht="15.75" customHeight="1" x14ac:dyDescent="0.2">
      <c r="B18" s="31"/>
      <c r="C18" s="34"/>
      <c r="D18" s="34"/>
      <c r="E18" s="34"/>
      <c r="F18" s="34"/>
      <c r="G18" s="34"/>
      <c r="H18" s="34"/>
      <c r="I18" s="34"/>
      <c r="J18" s="34"/>
      <c r="K18" s="34"/>
      <c r="L18" s="34"/>
      <c r="M18" s="34"/>
      <c r="N18" s="38"/>
      <c r="O18" s="38"/>
      <c r="P18" s="33"/>
    </row>
    <row r="19" spans="2:22" ht="141.75" customHeight="1" x14ac:dyDescent="0.2">
      <c r="B19" s="31"/>
      <c r="C19" s="323" t="s">
        <v>175</v>
      </c>
      <c r="D19" s="324"/>
      <c r="E19" s="122" t="s">
        <v>176</v>
      </c>
      <c r="F19" s="325" t="s">
        <v>374</v>
      </c>
      <c r="G19" s="326"/>
      <c r="H19" s="326"/>
      <c r="I19" s="326"/>
      <c r="J19" s="326"/>
      <c r="K19" s="326"/>
      <c r="L19" s="326"/>
      <c r="M19" s="327"/>
      <c r="N19" s="58"/>
      <c r="O19" s="58"/>
      <c r="P19" s="33"/>
    </row>
    <row r="20" spans="2:22" ht="105.75" customHeight="1" x14ac:dyDescent="0.2">
      <c r="B20" s="31"/>
      <c r="C20" s="323" t="s">
        <v>177</v>
      </c>
      <c r="D20" s="324"/>
      <c r="E20" s="122" t="s">
        <v>179</v>
      </c>
      <c r="F20" s="325" t="s">
        <v>371</v>
      </c>
      <c r="G20" s="326"/>
      <c r="H20" s="326"/>
      <c r="I20" s="326"/>
      <c r="J20" s="326"/>
      <c r="K20" s="326"/>
      <c r="L20" s="326"/>
      <c r="M20" s="327"/>
      <c r="N20" s="58"/>
      <c r="O20" s="58"/>
      <c r="P20" s="33"/>
    </row>
    <row r="21" spans="2:22" ht="143.25" customHeight="1" x14ac:dyDescent="0.2">
      <c r="B21" s="31"/>
      <c r="C21" s="318" t="s">
        <v>178</v>
      </c>
      <c r="D21" s="319"/>
      <c r="E21" s="122" t="s">
        <v>179</v>
      </c>
      <c r="F21" s="325" t="s">
        <v>373</v>
      </c>
      <c r="G21" s="326"/>
      <c r="H21" s="326"/>
      <c r="I21" s="326"/>
      <c r="J21" s="326"/>
      <c r="K21" s="326"/>
      <c r="L21" s="326"/>
      <c r="M21" s="327"/>
      <c r="N21" s="58"/>
      <c r="O21" s="58"/>
      <c r="P21" s="33"/>
    </row>
    <row r="22" spans="2:22" ht="66" customHeight="1" thickBot="1" x14ac:dyDescent="0.25">
      <c r="B22" s="31"/>
      <c r="C22" s="32"/>
      <c r="D22" s="32"/>
      <c r="E22" s="32"/>
      <c r="F22" s="32"/>
      <c r="G22" s="57"/>
      <c r="H22" s="32"/>
      <c r="I22" s="32"/>
      <c r="J22" s="32"/>
      <c r="K22" s="32"/>
      <c r="L22" s="32"/>
      <c r="M22" s="32"/>
      <c r="N22" s="32"/>
      <c r="O22" s="32"/>
      <c r="P22" s="33"/>
    </row>
    <row r="23" spans="2:22" ht="102.75" customHeight="1" thickBot="1" x14ac:dyDescent="0.25">
      <c r="B23" s="31"/>
      <c r="C23" s="96" t="s">
        <v>50</v>
      </c>
      <c r="D23" s="2"/>
      <c r="E23" s="63" t="s">
        <v>180</v>
      </c>
      <c r="F23" s="2"/>
      <c r="G23" s="63" t="s">
        <v>181</v>
      </c>
      <c r="H23" s="2"/>
      <c r="I23" s="92" t="s">
        <v>182</v>
      </c>
      <c r="J23" s="53"/>
      <c r="K23" s="93" t="s">
        <v>183</v>
      </c>
      <c r="L23" s="53"/>
      <c r="M23" s="94" t="s">
        <v>184</v>
      </c>
      <c r="N23" s="53"/>
      <c r="O23" s="95" t="s">
        <v>185</v>
      </c>
      <c r="P23" s="33"/>
      <c r="Q23" s="46"/>
    </row>
    <row r="24" spans="2:22" ht="6.75" customHeight="1" x14ac:dyDescent="0.35">
      <c r="B24" s="31"/>
      <c r="C24" s="97"/>
      <c r="D24" s="3"/>
      <c r="E24" s="3"/>
      <c r="F24" s="3"/>
      <c r="G24" s="3"/>
      <c r="H24" s="3"/>
      <c r="I24" s="61"/>
      <c r="J24" s="3"/>
      <c r="K24" s="61"/>
      <c r="L24" s="3"/>
      <c r="M24" s="3"/>
      <c r="N24" s="3"/>
      <c r="O24" s="3"/>
      <c r="P24" s="33"/>
    </row>
    <row r="25" spans="2:22" ht="179.25" customHeight="1" x14ac:dyDescent="0.2">
      <c r="B25" s="31"/>
      <c r="C25" s="98" t="s">
        <v>44</v>
      </c>
      <c r="D25" s="1"/>
      <c r="E25" s="119" t="str">
        <f>+IF(Hoja1!$N$2&gt;=0.5,"Si","No")</f>
        <v>Si</v>
      </c>
      <c r="F25" s="52"/>
      <c r="G25" s="118">
        <f>+Hoja1!N2</f>
        <v>0.75</v>
      </c>
      <c r="H25" s="52"/>
      <c r="I25" s="142" t="s">
        <v>372</v>
      </c>
      <c r="J25" s="60"/>
      <c r="K25" s="120">
        <v>0.76</v>
      </c>
      <c r="L25" s="50"/>
      <c r="M25" s="142" t="s">
        <v>367</v>
      </c>
      <c r="N25" s="59"/>
      <c r="O25" s="121">
        <v>0.76</v>
      </c>
      <c r="P25" s="35"/>
      <c r="Q25" s="37"/>
      <c r="R25" s="37"/>
      <c r="S25" s="37"/>
      <c r="T25" s="37"/>
      <c r="U25" s="37"/>
      <c r="V25" s="37"/>
    </row>
    <row r="26" spans="2:22" ht="6.75" customHeight="1" x14ac:dyDescent="0.35">
      <c r="B26" s="31"/>
      <c r="C26" s="97"/>
      <c r="D26" s="4"/>
      <c r="E26" s="5"/>
      <c r="F26" s="3"/>
      <c r="G26" s="49"/>
      <c r="H26" s="3"/>
      <c r="I26" s="62"/>
      <c r="J26" s="3"/>
      <c r="K26" s="61"/>
      <c r="L26" s="3"/>
      <c r="M26" s="6"/>
      <c r="N26" s="6"/>
      <c r="O26" s="64"/>
      <c r="P26" s="33"/>
    </row>
    <row r="27" spans="2:22" ht="128.25" customHeight="1" x14ac:dyDescent="0.2">
      <c r="B27" s="31"/>
      <c r="C27" s="99" t="s">
        <v>186</v>
      </c>
      <c r="D27" s="1"/>
      <c r="E27" s="119" t="e">
        <f>+IF(Hoja1!$N$26&gt;=0.5,"Si","No")</f>
        <v>#REF!</v>
      </c>
      <c r="F27" s="3"/>
      <c r="G27" s="118" t="e">
        <f>+Hoja1!N26</f>
        <v>#REF!</v>
      </c>
      <c r="H27" s="3"/>
      <c r="I27" s="145" t="s">
        <v>378</v>
      </c>
      <c r="J27" s="3"/>
      <c r="K27" s="120">
        <v>0.79</v>
      </c>
      <c r="L27" s="51"/>
      <c r="M27" s="143" t="s">
        <v>368</v>
      </c>
      <c r="N27" s="59"/>
      <c r="O27" s="121" t="e">
        <f>G27-K27</f>
        <v>#REF!</v>
      </c>
      <c r="P27" s="33"/>
    </row>
    <row r="28" spans="2:22" ht="6.75" customHeight="1" x14ac:dyDescent="0.35">
      <c r="B28" s="31"/>
      <c r="C28" s="97"/>
      <c r="D28" s="4"/>
      <c r="E28" s="5"/>
      <c r="F28" s="3"/>
      <c r="G28" s="49"/>
      <c r="H28" s="3"/>
      <c r="I28" s="62"/>
      <c r="J28" s="3"/>
      <c r="K28" s="61"/>
      <c r="L28" s="3"/>
      <c r="M28" s="6"/>
      <c r="N28" s="6"/>
      <c r="O28" s="64"/>
      <c r="P28" s="33"/>
    </row>
    <row r="29" spans="2:22" ht="64.5" customHeight="1" x14ac:dyDescent="0.2">
      <c r="B29" s="31"/>
      <c r="C29" s="100" t="s">
        <v>187</v>
      </c>
      <c r="D29" s="1"/>
      <c r="E29" s="119" t="e">
        <f>+IF(Hoja1!$N$43&gt;=0.5,"Si","No")</f>
        <v>#REF!</v>
      </c>
      <c r="F29" s="3"/>
      <c r="G29" s="118" t="e">
        <f>+Hoja1!N43</f>
        <v>#REF!</v>
      </c>
      <c r="H29" s="3"/>
      <c r="I29" s="143" t="s">
        <v>379</v>
      </c>
      <c r="J29" s="3"/>
      <c r="K29" s="120">
        <v>0.71</v>
      </c>
      <c r="L29" s="51"/>
      <c r="M29" s="144" t="s">
        <v>369</v>
      </c>
      <c r="N29" s="59"/>
      <c r="O29" s="121" t="e">
        <f>G29-K29</f>
        <v>#REF!</v>
      </c>
      <c r="P29" s="33"/>
    </row>
    <row r="30" spans="2:22" ht="6.75" customHeight="1" x14ac:dyDescent="0.35">
      <c r="B30" s="31"/>
      <c r="C30" s="97"/>
      <c r="D30" s="4"/>
      <c r="E30" s="5"/>
      <c r="F30" s="3"/>
      <c r="G30" s="49"/>
      <c r="H30" s="3"/>
      <c r="I30" s="62"/>
      <c r="J30" s="3"/>
      <c r="K30" s="61"/>
      <c r="L30" s="3"/>
      <c r="M30" s="6"/>
      <c r="N30" s="6"/>
      <c r="O30" s="64"/>
      <c r="P30" s="33"/>
    </row>
    <row r="31" spans="2:22" ht="72" customHeight="1" x14ac:dyDescent="0.2">
      <c r="B31" s="31"/>
      <c r="C31" s="101" t="s">
        <v>188</v>
      </c>
      <c r="D31" s="1"/>
      <c r="E31" s="119" t="e">
        <f>+IF(Hoja1!$N$55&gt;=0.5,"Si","No")</f>
        <v>#REF!</v>
      </c>
      <c r="F31" s="3"/>
      <c r="G31" s="118" t="e">
        <f>+Hoja1!N55</f>
        <v>#REF!</v>
      </c>
      <c r="H31" s="3"/>
      <c r="I31" s="143" t="s">
        <v>370</v>
      </c>
      <c r="J31" s="3"/>
      <c r="K31" s="120">
        <v>0.82</v>
      </c>
      <c r="L31" s="51"/>
      <c r="M31" s="144" t="s">
        <v>370</v>
      </c>
      <c r="N31" s="59"/>
      <c r="O31" s="121" t="e">
        <f>G31-K31</f>
        <v>#REF!</v>
      </c>
      <c r="P31" s="33"/>
    </row>
    <row r="32" spans="2:22" ht="6.75" customHeight="1" x14ac:dyDescent="0.35">
      <c r="B32" s="31"/>
      <c r="C32" s="97"/>
      <c r="D32" s="4"/>
      <c r="E32" s="5"/>
      <c r="F32" s="3"/>
      <c r="G32" s="49"/>
      <c r="H32" s="3"/>
      <c r="I32" s="62"/>
      <c r="J32" s="3"/>
      <c r="K32" s="61"/>
      <c r="L32" s="3"/>
      <c r="M32" s="6"/>
      <c r="N32" s="6"/>
      <c r="O32" s="64"/>
      <c r="P32" s="33"/>
    </row>
    <row r="33" spans="2:16" ht="90.75" customHeight="1" thickBot="1" x14ac:dyDescent="0.25">
      <c r="B33" s="31"/>
      <c r="C33" s="102" t="s">
        <v>189</v>
      </c>
      <c r="D33" s="1"/>
      <c r="E33" s="119" t="e">
        <f>+IF(Hoja1!$N$69&gt;=0.5,"Si","No")</f>
        <v>#REF!</v>
      </c>
      <c r="F33" s="3"/>
      <c r="G33" s="118" t="e">
        <f>+Hoja1!N69</f>
        <v>#REF!</v>
      </c>
      <c r="H33" s="3"/>
      <c r="I33" s="146" t="s">
        <v>380</v>
      </c>
      <c r="J33" s="3"/>
      <c r="K33" s="120">
        <v>0.86</v>
      </c>
      <c r="L33" s="51"/>
      <c r="M33" s="144" t="s">
        <v>375</v>
      </c>
      <c r="N33" s="59"/>
      <c r="O33" s="121" t="e">
        <f>G33-K33</f>
        <v>#REF!</v>
      </c>
      <c r="P33" s="33"/>
    </row>
    <row r="34" spans="2:16" ht="15.75" x14ac:dyDescent="0.2">
      <c r="B34" s="31"/>
      <c r="C34" s="36"/>
      <c r="D34" s="36"/>
      <c r="E34" s="38"/>
      <c r="F34" s="32"/>
      <c r="G34" s="32"/>
      <c r="H34" s="32"/>
      <c r="I34" s="32"/>
      <c r="J34" s="32"/>
      <c r="K34" s="32"/>
      <c r="L34" s="32"/>
      <c r="M34" s="39"/>
      <c r="N34" s="39"/>
      <c r="O34" s="39"/>
      <c r="P34" s="33"/>
    </row>
    <row r="35" spans="2:16" ht="15.75" x14ac:dyDescent="0.2">
      <c r="B35" s="31"/>
      <c r="C35" s="40"/>
      <c r="D35" s="36"/>
      <c r="E35" s="38"/>
      <c r="F35" s="32"/>
      <c r="G35" s="32"/>
      <c r="H35" s="32"/>
      <c r="I35" s="32"/>
      <c r="J35" s="32"/>
      <c r="K35" s="32"/>
      <c r="L35" s="32"/>
      <c r="M35" s="39"/>
      <c r="N35" s="39"/>
      <c r="O35" s="39"/>
      <c r="P35" s="33"/>
    </row>
    <row r="36" spans="2:16" x14ac:dyDescent="0.2">
      <c r="B36" s="31"/>
      <c r="C36" s="41"/>
      <c r="D36" s="32"/>
      <c r="E36" s="32"/>
      <c r="F36" s="32"/>
      <c r="G36" s="32"/>
      <c r="H36" s="32"/>
      <c r="I36" s="32"/>
      <c r="J36" s="32"/>
      <c r="K36" s="32"/>
      <c r="L36" s="32"/>
      <c r="M36" s="32"/>
      <c r="N36" s="32"/>
      <c r="O36" s="32"/>
      <c r="P36" s="33"/>
    </row>
    <row r="37" spans="2:16" ht="13.5" thickBot="1" x14ac:dyDescent="0.25">
      <c r="B37" s="42"/>
      <c r="C37" s="43"/>
      <c r="D37" s="43"/>
      <c r="E37" s="43"/>
      <c r="F37" s="43"/>
      <c r="G37" s="43"/>
      <c r="H37" s="43"/>
      <c r="I37" s="43"/>
      <c r="J37" s="43"/>
      <c r="K37" s="43"/>
      <c r="L37" s="43"/>
      <c r="M37" s="43"/>
      <c r="N37" s="43"/>
      <c r="O37" s="43"/>
      <c r="P37" s="44"/>
    </row>
    <row r="38" spans="2:16" ht="13.5" thickTop="1" x14ac:dyDescent="0.2"/>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orientation="portrait" verticalDpi="300" r:id="rId1"/>
  <ignoredErrors>
    <ignoredError sqref="O27 O29 O31 O33"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8" operator="between" id="{AC1FC42B-E47F-4E28-8390-539A6FAE60AB}">
            <xm:f>0</xm:f>
            <xm:f>#REF!</xm:f>
            <x14:dxf>
              <fill>
                <patternFill>
                  <bgColor rgb="FFFF0000"/>
                </patternFill>
              </fill>
            </x14:dxf>
          </x14:cfRule>
          <xm:sqref>G25 G27 G29 G31 G33</xm:sqref>
        </x14:conditionalFormatting>
        <x14:conditionalFormatting xmlns:xm="http://schemas.microsoft.com/office/excel/2006/main">
          <x14:cfRule type="cellIs" priority="20" operator="between" id="{89B62F38-33F9-4807-A37E-FBE5EDA20BAD}">
            <xm:f>0</xm:f>
            <xm:f>#REF!</xm:f>
            <x14:dxf>
              <fill>
                <patternFill>
                  <bgColor rgb="FFFF0000"/>
                </patternFill>
              </fill>
            </x14:dxf>
          </x14:cfRule>
          <xm:sqref>K25</xm:sqref>
        </x14:conditionalFormatting>
        <x14:conditionalFormatting xmlns:xm="http://schemas.microsoft.com/office/excel/2006/main">
          <x14:cfRule type="cellIs" priority="16" operator="between" id="{74414D1A-6CA0-411B-BC54-8950C1BC70EC}">
            <xm:f>0</xm:f>
            <xm:f>#REF!</xm:f>
            <x14:dxf>
              <fill>
                <patternFill>
                  <bgColor rgb="FFFF0000"/>
                </patternFill>
              </fill>
            </x14:dxf>
          </x14:cfRule>
          <xm:sqref>K27</xm:sqref>
        </x14:conditionalFormatting>
        <x14:conditionalFormatting xmlns:xm="http://schemas.microsoft.com/office/excel/2006/main">
          <x14:cfRule type="cellIs" priority="12" operator="between" id="{23BFD082-B5A8-477C-BAD4-23E9934FFB34}">
            <xm:f>0</xm:f>
            <xm:f>#REF!</xm:f>
            <x14:dxf>
              <fill>
                <patternFill>
                  <bgColor rgb="FFFF0000"/>
                </patternFill>
              </fill>
            </x14:dxf>
          </x14:cfRule>
          <xm:sqref>K29</xm:sqref>
        </x14:conditionalFormatting>
        <x14:conditionalFormatting xmlns:xm="http://schemas.microsoft.com/office/excel/2006/main">
          <x14:cfRule type="cellIs" priority="8" operator="between" id="{E4CB7794-8664-4CFE-B341-1D3ADC132036}">
            <xm:f>0</xm:f>
            <xm:f>#REF!</xm:f>
            <x14:dxf>
              <fill>
                <patternFill>
                  <bgColor rgb="FFFF0000"/>
                </patternFill>
              </fill>
            </x14:dxf>
          </x14:cfRule>
          <xm:sqref>K31</xm:sqref>
        </x14:conditionalFormatting>
        <x14:conditionalFormatting xmlns:xm="http://schemas.microsoft.com/office/excel/2006/main">
          <x14:cfRule type="cellIs" priority="4" operator="between" id="{0B82901D-DF36-435F-9E16-6E092395D406}">
            <xm:f>0</xm:f>
            <xm:f>#REF!</xm:f>
            <x14:dxf>
              <fill>
                <patternFill>
                  <bgColor rgb="FFFF0000"/>
                </patternFill>
              </fill>
            </x14:dxf>
          </x14:cfRule>
          <xm:sqref>K33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139" t="s">
        <v>111</v>
      </c>
      <c r="B1" s="139" t="s">
        <v>190</v>
      </c>
      <c r="C1" s="138" t="s">
        <v>191</v>
      </c>
      <c r="D1" s="138" t="s">
        <v>192</v>
      </c>
      <c r="E1" s="138" t="s">
        <v>193</v>
      </c>
      <c r="F1" s="139" t="s">
        <v>136</v>
      </c>
      <c r="G1" s="137" t="s">
        <v>194</v>
      </c>
      <c r="H1" s="137" t="s">
        <v>195</v>
      </c>
      <c r="I1" s="137" t="s">
        <v>196</v>
      </c>
      <c r="J1" s="137" t="s">
        <v>80</v>
      </c>
      <c r="K1" s="137" t="s">
        <v>89</v>
      </c>
      <c r="L1" s="137" t="s">
        <v>197</v>
      </c>
      <c r="M1" s="79" t="s">
        <v>198</v>
      </c>
      <c r="N1" s="79"/>
    </row>
    <row r="2" spans="1:19" ht="12.75" customHeight="1" x14ac:dyDescent="0.2">
      <c r="A2" s="125" t="s">
        <v>199</v>
      </c>
      <c r="B2" s="125" t="str">
        <f>+LEFT(A2,1)</f>
        <v>1</v>
      </c>
      <c r="C2" s="125"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25" t="s">
        <v>200</v>
      </c>
      <c r="E2" s="125" t="str">
        <f>+VLOOKUP(A2,'Ambiente de Control'!$B$21:$D$235,3,0)</f>
        <v>Dimensión Talento Humano
Política Integridad</v>
      </c>
      <c r="F2" s="125" t="str">
        <f>+VLOOKUP(A2,'Ambiente de Control'!$B$21:$K$235,10,0)</f>
        <v>Mantenimiento del control</v>
      </c>
      <c r="G2" s="125">
        <f>+VLOOKUP(A2,'Ambiente de Control'!$B$21:$O$39,13)</f>
        <v>60.045870000000001</v>
      </c>
      <c r="H2" s="127" t="e">
        <f>+_xlfn.RANK.EQ(G2,$G$2:$G$82,1)</f>
        <v>#REF!</v>
      </c>
      <c r="I2" s="125" t="str">
        <f t="shared" ref="I2:I33" si="0">+IF(F2=$F$2,$P$4,IF(F2=$F$3,$P$2,$P$3))</f>
        <v>Cuando en el análisis de los requerimientos en los diferenes componentes del MECI se cuente con aspectos evaluados en nivel 1 (presente) y 1 (funcionando); 2 (presente) y 1 (funcionando).</v>
      </c>
      <c r="J2" s="125" t="s">
        <v>201</v>
      </c>
      <c r="K2" s="125">
        <f>+IF(ISBLANK(VLOOKUP(A2,'Ambiente de Control'!$B$24:$F$235,5,0)),"",VLOOKUP(A2,'Ambiente de Control'!$B$24:$F$235,5,0))</f>
        <v>3</v>
      </c>
      <c r="L2" s="125">
        <f>+IF(ISBLANK(VLOOKUP(A2,'Ambiente de Control'!$B$24:$K$235,9,0)),"",VLOOKUP(A2,'Ambiente de Control'!$B$24:$K$235,9,0))</f>
        <v>3</v>
      </c>
      <c r="M2" s="125">
        <f t="shared" ref="M2" si="1">+IF(OR(AND(K2=1,L2=1),AND(ISBLANK(K2),ISBLANK(L2)),K2="",L2=""),0,IF(OR(AND(K2=1,L2=2),AND(K2=1,L2=3)),0.25,IF(OR(AND(K2=2,L2=2),AND(K2=3,L2=1),AND(K2=3,L2=2),AND(K2=2,L2=1)),0.5,IF(AND(K2=2,L2=3),0.75,1))))</f>
        <v>1</v>
      </c>
      <c r="N2" s="125">
        <f>+AVERAGEIF($D$2:$D$82,D2,$M$2:$M$82)</f>
        <v>0.75</v>
      </c>
      <c r="O2" s="123" t="s">
        <v>27</v>
      </c>
      <c r="P2" s="124" t="s">
        <v>202</v>
      </c>
      <c r="Q2" s="124"/>
      <c r="R2" s="125"/>
      <c r="S2" s="125"/>
    </row>
    <row r="3" spans="1:19" ht="12.75" customHeight="1" x14ac:dyDescent="0.2">
      <c r="A3" s="125" t="s">
        <v>203</v>
      </c>
      <c r="B3" s="125" t="str">
        <f t="shared" ref="B3:B42" si="2">+LEFT(A3,1)</f>
        <v>1</v>
      </c>
      <c r="C3" s="125" t="str">
        <f>+MID(VLOOKUP(A3,'Ambiente de Control'!$B$21:$C$235,2,0),4,LEN(VLOOKUP(A3,'Ambiente de Control'!$B$21:$C$235,2,0))-4)</f>
        <v xml:space="preserve"> Mecanismos para el manejo de conflictos de interés.</v>
      </c>
      <c r="D3" s="125" t="s">
        <v>200</v>
      </c>
      <c r="E3" s="125" t="str">
        <f>+VLOOKUP(A3,'Ambiente de Control'!$B$21:$D$235,3,0)</f>
        <v>Dimensión Talento Humano
Política Integridad</v>
      </c>
      <c r="F3" s="125" t="str">
        <f>+VLOOKUP(A3,'Ambiente de Control'!$B$21:$K$235,10,0)</f>
        <v>Deficiencia de control (diseño o ejecución)</v>
      </c>
      <c r="G3" s="125">
        <f>+VLOOKUP(A3,'Ambiente de Control'!$B$21:$O$235,13,0)</f>
        <v>20.055689999999998</v>
      </c>
      <c r="H3" s="127" t="e">
        <f t="shared" ref="H3:H70" si="3">+_xlfn.RANK.EQ(G3,$G$2:$G$82,1)</f>
        <v>#REF!</v>
      </c>
      <c r="I3" s="125" t="str">
        <f t="shared" si="0"/>
        <v>Cuando en el análisis de los requerimientos en los diferenes componentes del MECI se cuente con aspectos evaluados en nivel 2 (presente) y 3 (funcionando).</v>
      </c>
      <c r="J3" s="125" t="s">
        <v>201</v>
      </c>
      <c r="K3" s="125">
        <f>+IF(ISBLANK(VLOOKUP(A3,'Ambiente de Control'!$B$24:$F$235,5,0)),"",VLOOKUP(A3,'Ambiente de Control'!$B$24:$F$235,5,0))</f>
        <v>3</v>
      </c>
      <c r="L3" s="125">
        <f>+IF(ISBLANK(VLOOKUP(A3,'Ambiente de Control'!$B$24:$K$235,9,0)),"",VLOOKUP(A3,'Ambiente de Control'!$B$24:$K$235,9,0))</f>
        <v>2</v>
      </c>
      <c r="M3" s="125">
        <f>+IF(OR(AND(K3=1,L3=1),AND(ISBLANK(K3),ISBLANK(L3)),K3="",L3=""),0,IF(OR(AND(K3=1,L3=2),AND(K3=1,L3=3)),0.25,IF(OR(AND(K3=2,L3=2),AND(K3=3,L3=1),AND(K3=3,L3=2),AND(K3=2,L3=1)),0.5,IF(AND(K3=2,L3=3),0.75,1))))</f>
        <v>0.5</v>
      </c>
      <c r="N3" s="125">
        <f t="shared" ref="N3:N70" si="4">+AVERAGEIF($D$2:$D$82,D3,$M$2:$M$82)</f>
        <v>0.75</v>
      </c>
      <c r="O3" s="126" t="s">
        <v>30</v>
      </c>
      <c r="P3" s="124" t="s">
        <v>204</v>
      </c>
      <c r="Q3" s="124"/>
      <c r="R3" s="125" t="s">
        <v>205</v>
      </c>
      <c r="S3" s="125"/>
    </row>
    <row r="4" spans="1:19" ht="16.5" customHeight="1" x14ac:dyDescent="0.2">
      <c r="A4" s="125" t="s">
        <v>206</v>
      </c>
      <c r="B4" s="125" t="str">
        <f t="shared" si="2"/>
        <v>1</v>
      </c>
      <c r="C4" s="125"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25" t="s">
        <v>200</v>
      </c>
      <c r="E4" s="125" t="str">
        <f>+VLOOKUP(A4,'Ambiente de Control'!$B$21:$D$235,3,0)</f>
        <v>Dimensión Información y Comunicación
Política Transparencia y Acceso a la Información Pública
Política Gestión Documental</v>
      </c>
      <c r="F4" s="125" t="str">
        <f>+VLOOKUP(A4,'Ambiente de Control'!$B$21:$K$235,10,0)</f>
        <v>Deficiencia de control (diseño o ejecución)</v>
      </c>
      <c r="G4" s="125">
        <f>+VLOOKUP(A4,'Ambiente de Control'!$B$21:$O$235,13,0)</f>
        <v>20.066896</v>
      </c>
      <c r="H4" s="127" t="e">
        <f t="shared" si="3"/>
        <v>#REF!</v>
      </c>
      <c r="I4" s="125" t="str">
        <f t="shared" si="0"/>
        <v>Cuando en el análisis de los requerimientos en los diferenes componentes del MECI se cuente con aspectos evaluados en nivel 2 (presente) y 3 (funcionando).</v>
      </c>
      <c r="J4" s="125" t="s">
        <v>201</v>
      </c>
      <c r="K4" s="125">
        <f>+IF(ISBLANK(VLOOKUP(A4,'Ambiente de Control'!$B$24:$F$235,5,0)),"",VLOOKUP(A4,'Ambiente de Control'!$B$24:$F$235,5,0))</f>
        <v>3</v>
      </c>
      <c r="L4" s="125">
        <f>+IF(ISBLANK(VLOOKUP(A4,'Ambiente de Control'!$B$24:$K$235,9,0)),"",VLOOKUP(A4,'Ambiente de Control'!$B$24:$K$235,9,0))</f>
        <v>2</v>
      </c>
      <c r="M4" s="125">
        <f t="shared" ref="M4:M67" si="5">+IF(OR(AND(K4=1,L4=1),AND(ISBLANK(K4),ISBLANK(L4)),K4="",L4=""),0,IF(OR(AND(K4=1,L4=2),AND(K4=1,L4=3)),0.25,IF(OR(AND(K4=2,L4=2),AND(K4=3,L4=1),AND(K4=3,L4=2),AND(K4=2,L4=1)),0.5,IF(AND(K4=2,L4=3),0.75,1))))</f>
        <v>0.5</v>
      </c>
      <c r="N4" s="125">
        <f t="shared" si="4"/>
        <v>0.75</v>
      </c>
      <c r="O4" s="126" t="s">
        <v>33</v>
      </c>
      <c r="P4" s="124" t="s">
        <v>207</v>
      </c>
      <c r="Q4" s="124"/>
      <c r="R4" s="125"/>
      <c r="S4" s="125"/>
    </row>
    <row r="5" spans="1:19" x14ac:dyDescent="0.2">
      <c r="A5" s="125" t="s">
        <v>208</v>
      </c>
      <c r="B5" s="125" t="str">
        <f t="shared" si="2"/>
        <v>1</v>
      </c>
      <c r="C5" s="125" t="str">
        <f>+MID(VLOOKUP(A5,'Ambiente de Control'!$B$21:$C$235,2,0),4,LEN(VLOOKUP(A5,'Ambiente de Control'!$B$21:$C$235,2,0))-4)</f>
        <v xml:space="preserve"> La evaluación de las acciones transversales de integridad, mediante el monitoreo permanente de los riesgos de corrupción.</v>
      </c>
      <c r="D5" s="125" t="s">
        <v>200</v>
      </c>
      <c r="E5" s="125" t="str">
        <f>+VLOOKUP(A5,'Ambiente de Control'!$B$21:$D$235,3,0)</f>
        <v>Dimension Talento Humano
Politica de Integridad</v>
      </c>
      <c r="F5" s="125" t="str">
        <f>+VLOOKUP(A5,'Ambiente de Control'!$B$21:$K$235,10,0)</f>
        <v>Deficiencia de control (diseño o ejecución)</v>
      </c>
      <c r="G5" s="125">
        <f>+VLOOKUP(A5,'Ambiente de Control'!$B$21:$O$235,13,0)</f>
        <v>20.06691</v>
      </c>
      <c r="H5" s="127" t="e">
        <f t="shared" si="3"/>
        <v>#REF!</v>
      </c>
      <c r="I5" s="125" t="str">
        <f t="shared" si="0"/>
        <v>Cuando en el análisis de los requerimientos en los diferenes componentes del MECI se cuente con aspectos evaluados en nivel 2 (presente) y 3 (funcionando).</v>
      </c>
      <c r="J5" s="125" t="s">
        <v>201</v>
      </c>
      <c r="K5" s="125">
        <f>+IF(ISBLANK(VLOOKUP(A5,'Ambiente de Control'!$B$24:$F$235,5,0)),"",VLOOKUP(A5,'Ambiente de Control'!$B$24:$F$235,5,0))</f>
        <v>2</v>
      </c>
      <c r="L5" s="125">
        <f>+IF(ISBLANK(VLOOKUP(A5,'Ambiente de Control'!$B$24:$K$235,9,0)),"",VLOOKUP(A5,'Ambiente de Control'!$B$24:$K$235,9,0))</f>
        <v>2</v>
      </c>
      <c r="M5" s="125">
        <f t="shared" si="5"/>
        <v>0.5</v>
      </c>
      <c r="N5" s="125">
        <f t="shared" si="4"/>
        <v>0.75</v>
      </c>
      <c r="O5" s="125"/>
      <c r="P5" s="125"/>
    </row>
    <row r="6" spans="1:19" x14ac:dyDescent="0.2">
      <c r="A6" s="125" t="s">
        <v>209</v>
      </c>
      <c r="B6" s="125" t="str">
        <f t="shared" si="2"/>
        <v>1</v>
      </c>
      <c r="C6" s="125"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25" t="s">
        <v>200</v>
      </c>
      <c r="E6" s="125" t="str">
        <f>+VLOOKUP(A6,'Ambiente de Control'!$B$21:$D$235,3,0)</f>
        <v>Dimensión Direccionamiento Estratégico y Planeación
Plan Anticorrupción y de Atención al Ciudadano</v>
      </c>
      <c r="F6" s="125" t="str">
        <f>+VLOOKUP(A6,'Ambiente de Control'!$B$21:$K$235,10,0)</f>
        <v>Deficiencia de control (diseño o ejecución)</v>
      </c>
      <c r="G6" s="125">
        <f>+VLOOKUP(A6,'Ambiente de Control'!$B$21:$O$235,13,0)</f>
        <v>20.073568999999999</v>
      </c>
      <c r="H6" s="127" t="e">
        <f t="shared" si="3"/>
        <v>#REF!</v>
      </c>
      <c r="I6" s="125" t="str">
        <f t="shared" si="0"/>
        <v>Cuando en el análisis de los requerimientos en los diferenes componentes del MECI se cuente con aspectos evaluados en nivel 2 (presente) y 3 (funcionando).</v>
      </c>
      <c r="J6" s="125" t="s">
        <v>201</v>
      </c>
      <c r="K6" s="125">
        <f>+IF(ISBLANK(VLOOKUP(A6,'Ambiente de Control'!$B$24:$F$235,5,0)),"",VLOOKUP(A6,'Ambiente de Control'!$B$24:$F$235,5,0))</f>
        <v>2</v>
      </c>
      <c r="L6" s="125">
        <f>+IF(ISBLANK(VLOOKUP(A6,'Ambiente de Control'!$B$24:$K$235,9,0)),"",VLOOKUP(A6,'Ambiente de Control'!$B$24:$K$235,9,0))</f>
        <v>2</v>
      </c>
      <c r="M6" s="125">
        <f t="shared" si="5"/>
        <v>0.5</v>
      </c>
      <c r="N6" s="125">
        <f t="shared" si="4"/>
        <v>0.75</v>
      </c>
      <c r="O6" s="125"/>
      <c r="P6" s="125"/>
    </row>
    <row r="7" spans="1:19" x14ac:dyDescent="0.2">
      <c r="A7" s="125" t="s">
        <v>210</v>
      </c>
      <c r="B7" s="125" t="str">
        <f t="shared" si="2"/>
        <v>2</v>
      </c>
      <c r="C7" s="125"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25" t="s">
        <v>200</v>
      </c>
      <c r="E7" s="125" t="str">
        <f>+VLOOKUP(A7,'Ambiente de Control'!$B$21:$D$235,3,0)</f>
        <v>Dimension Control Interno
Politica de Control Interno</v>
      </c>
      <c r="F7" s="125" t="str">
        <f>+VLOOKUP(A7,'Ambiente de Control'!$B$21:$K$235,10,0)</f>
        <v>Deficiencia de control (diseño o ejecución)</v>
      </c>
      <c r="G7" s="125">
        <f>+VLOOKUP(A7,'Ambiente de Control'!$B$21:$O$235,13,0)</f>
        <v>20.088965300000002</v>
      </c>
      <c r="H7" s="127" t="e">
        <f t="shared" si="3"/>
        <v>#REF!</v>
      </c>
      <c r="I7" s="125" t="str">
        <f t="shared" si="0"/>
        <v>Cuando en el análisis de los requerimientos en los diferenes componentes del MECI se cuente con aspectos evaluados en nivel 2 (presente) y 3 (funcionando).</v>
      </c>
      <c r="J7" s="125" t="s">
        <v>211</v>
      </c>
      <c r="K7" s="125">
        <f>+IF(ISBLANK(VLOOKUP(A7,'Ambiente de Control'!$B$24:$F$235,5,0)),"",VLOOKUP(A7,'Ambiente de Control'!$B$24:$F$235,5,0))</f>
        <v>2</v>
      </c>
      <c r="L7" s="125">
        <f>+IF(ISBLANK(VLOOKUP(A7,'Ambiente de Control'!$B$24:$K$235,9,0)),"",VLOOKUP(A7,'Ambiente de Control'!$B$24:$K$235,9,0))</f>
        <v>2</v>
      </c>
      <c r="M7" s="125">
        <f t="shared" si="5"/>
        <v>0.5</v>
      </c>
      <c r="N7" s="125">
        <f t="shared" si="4"/>
        <v>0.75</v>
      </c>
      <c r="O7" s="125"/>
      <c r="P7" s="125"/>
    </row>
    <row r="8" spans="1:19" x14ac:dyDescent="0.2">
      <c r="A8" s="125" t="s">
        <v>212</v>
      </c>
      <c r="B8" s="125" t="str">
        <f t="shared" si="2"/>
        <v>2</v>
      </c>
      <c r="C8" s="125" t="str">
        <f>+MID(VLOOKUP(A8,'Ambiente de Control'!$B$21:$C$235,2,0),4,LEN(VLOOKUP(A8,'Ambiente de Control'!$B$21:$C$235,2,0))-4)</f>
        <v xml:space="preserve"> Definición y documentación del Esquema de Líneas de Defens</v>
      </c>
      <c r="D8" s="125" t="s">
        <v>200</v>
      </c>
      <c r="E8" s="125" t="str">
        <f>+VLOOKUP(A8,'Ambiente de Control'!$B$21:$D$235,3,0)</f>
        <v>Dimension Control Interno
Politica de Control Interno
Lineas de defensa</v>
      </c>
      <c r="F8" s="125" t="str">
        <f>+VLOOKUP(A8,'Ambiente de Control'!$B$21:$K$235,10,0)</f>
        <v>Mantenimiento del control</v>
      </c>
      <c r="G8" s="125">
        <f>+VLOOKUP(A8,'Ambiente de Control'!$B$21:$O$235,13,0)</f>
        <v>60.098965300000003</v>
      </c>
      <c r="H8" s="127" t="e">
        <f t="shared" si="3"/>
        <v>#REF!</v>
      </c>
      <c r="I8" s="125" t="str">
        <f t="shared" si="0"/>
        <v>Cuando en el análisis de los requerimientos en los diferenes componentes del MECI se cuente con aspectos evaluados en nivel 1 (presente) y 1 (funcionando); 2 (presente) y 1 (funcionando).</v>
      </c>
      <c r="J8" s="125" t="s">
        <v>211</v>
      </c>
      <c r="K8" s="125">
        <f>+IF(ISBLANK(VLOOKUP(A8,'Ambiente de Control'!$B$24:$F$235,5,0)),"",VLOOKUP(A8,'Ambiente de Control'!$B$24:$F$235,5,0))</f>
        <v>3</v>
      </c>
      <c r="L8" s="125">
        <f>+IF(ISBLANK(VLOOKUP(A8,'Ambiente de Control'!$B$24:$K$235,9,0)),"",VLOOKUP(A8,'Ambiente de Control'!$B$24:$K$235,9,0))</f>
        <v>3</v>
      </c>
      <c r="M8" s="125">
        <f t="shared" si="5"/>
        <v>1</v>
      </c>
      <c r="N8" s="125">
        <f t="shared" si="4"/>
        <v>0.75</v>
      </c>
      <c r="O8" s="125"/>
      <c r="P8" s="125"/>
    </row>
    <row r="9" spans="1:19" x14ac:dyDescent="0.2">
      <c r="A9" s="125" t="s">
        <v>213</v>
      </c>
      <c r="B9" s="125" t="str">
        <f t="shared" si="2"/>
        <v>2</v>
      </c>
      <c r="C9" s="125" t="str">
        <f>+MID(VLOOKUP(A9,'Ambiente de Control'!$B$21:$C$235,2,0),4,LEN(VLOOKUP(A9,'Ambiente de Control'!$B$21:$C$235,2,0))-4)</f>
        <v xml:space="preserve"> Definición de líneas de reporte en temas clave para la toma de decisiones, atendiendo el Esquema de Líneas de Defens</v>
      </c>
      <c r="D9" s="125" t="s">
        <v>200</v>
      </c>
      <c r="E9" s="125" t="str">
        <f>+VLOOKUP(A9,'Ambiente de Control'!$B$21:$D$235,3,0)</f>
        <v>Dimension Control Interno
Politica de Control Interno
Linea de Defensa
Dimension de Informaciòn y Comunicaciòn</v>
      </c>
      <c r="F9" s="125" t="str">
        <f>+VLOOKUP(A9,'Ambiente de Control'!$B$21:$K$235,10,0)</f>
        <v>Oportunidad de mejora</v>
      </c>
      <c r="G9" s="125">
        <f>+VLOOKUP(A9,'Ambiente de Control'!$B$21:$O$235,13,0)</f>
        <v>40.156979999999997</v>
      </c>
      <c r="H9" s="127" t="e">
        <f t="shared" si="3"/>
        <v>#REF!</v>
      </c>
      <c r="I9" s="125" t="str">
        <f t="shared" si="0"/>
        <v>Cuando en el análisis de los requerimientos en los diferenes componentes del MECI se cuente con aspectos evaluados en nivel 2 (presente) y 2 (funcionando); 3 (presente) y 1 (funcionando); 3 (presente) y 2 (funcionando).</v>
      </c>
      <c r="J9" s="125" t="s">
        <v>211</v>
      </c>
      <c r="K9" s="125">
        <f>+IF(ISBLANK(VLOOKUP(A9,'Ambiente de Control'!$B$24:$F$235,5,0)),"",VLOOKUP(A9,'Ambiente de Control'!$B$24:$F$235,5,0))</f>
        <v>2</v>
      </c>
      <c r="L9" s="125">
        <f>+IF(ISBLANK(VLOOKUP(A9,'Ambiente de Control'!$B$24:$K$235,9,0)),"",VLOOKUP(A9,'Ambiente de Control'!$B$24:$K$235,9,0))</f>
        <v>3</v>
      </c>
      <c r="M9" s="125">
        <f t="shared" si="5"/>
        <v>0.75</v>
      </c>
      <c r="N9" s="125">
        <f t="shared" si="4"/>
        <v>0.75</v>
      </c>
      <c r="O9" s="125"/>
      <c r="P9" s="125"/>
    </row>
    <row r="10" spans="1:19" x14ac:dyDescent="0.2">
      <c r="A10" s="125" t="s">
        <v>214</v>
      </c>
      <c r="B10" s="125" t="str">
        <f t="shared" si="2"/>
        <v>3</v>
      </c>
      <c r="C10" s="125"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25" t="s">
        <v>200</v>
      </c>
      <c r="E10" s="125" t="str">
        <f>+VLOOKUP(A10,'Ambiente de Control'!$B$21:$D$235,3,0)</f>
        <v>Dimension de Direccionamiento Estrategico y Planeaciòn
Politica de Planeaciòn Institucional 
Dimension Control Interno</v>
      </c>
      <c r="F10" s="125" t="str">
        <f>+VLOOKUP(A10,'Ambiente de Control'!$B$21:$K$235,10,0)</f>
        <v>Deficiencia de control (diseño o ejecución)</v>
      </c>
      <c r="G10" s="125">
        <f>+VLOOKUP(A10,'Ambiente de Control'!$B$21:$O$235,13,0)</f>
        <v>20.289650000000002</v>
      </c>
      <c r="H10" s="127" t="e">
        <f t="shared" si="3"/>
        <v>#REF!</v>
      </c>
      <c r="I10" s="125" t="str">
        <f t="shared" si="0"/>
        <v>Cuando en el análisis de los requerimientos en los diferenes componentes del MECI se cuente con aspectos evaluados en nivel 2 (presente) y 3 (funcionando).</v>
      </c>
      <c r="J10" s="125" t="s">
        <v>215</v>
      </c>
      <c r="K10" s="125">
        <f>+IF(ISBLANK(VLOOKUP(A10,'Ambiente de Control'!$B$24:$F$235,5,0)),"",VLOOKUP(A10,'Ambiente de Control'!$B$24:$F$235,5,0))</f>
        <v>3</v>
      </c>
      <c r="L10" s="125">
        <f>+IF(ISBLANK(VLOOKUP(A10,'Ambiente de Control'!$B$24:$K$235,9,0)),"",VLOOKUP(A10,'Ambiente de Control'!$B$24:$K$235,9,0))</f>
        <v>2</v>
      </c>
      <c r="M10" s="125">
        <f t="shared" si="5"/>
        <v>0.5</v>
      </c>
      <c r="N10" s="125">
        <f t="shared" si="4"/>
        <v>0.75</v>
      </c>
      <c r="O10" s="125"/>
      <c r="P10" s="125"/>
    </row>
    <row r="11" spans="1:19" x14ac:dyDescent="0.2">
      <c r="A11" s="125" t="s">
        <v>216</v>
      </c>
      <c r="B11" s="125" t="str">
        <f t="shared" si="2"/>
        <v>3</v>
      </c>
      <c r="C11" s="125"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25" t="s">
        <v>200</v>
      </c>
      <c r="E11" s="125" t="str">
        <f>+VLOOKUP(A11,'Ambiente de Control'!$B$21:$D$235,3,0)</f>
        <v>Diimensiòn Evaluacion de Resultados 
Politica de Seguimiento y Evaluaciòn al Desemepeño Institucional
Dimension Control Interno
Lineas de defensa</v>
      </c>
      <c r="F11" s="125" t="str">
        <f>+VLOOKUP(A11,'Ambiente de Control'!$B$21:$K$235,10,0)</f>
        <v>Mantenimiento del control</v>
      </c>
      <c r="G11" s="125">
        <f>+VLOOKUP(A11,'Ambiente de Control'!$B$21:$O$235,13,0)</f>
        <v>60.489649999999997</v>
      </c>
      <c r="H11" s="127" t="e">
        <f t="shared" si="3"/>
        <v>#REF!</v>
      </c>
      <c r="I11" s="125" t="str">
        <f t="shared" si="0"/>
        <v>Cuando en el análisis de los requerimientos en los diferenes componentes del MECI se cuente con aspectos evaluados en nivel 1 (presente) y 1 (funcionando); 2 (presente) y 1 (funcionando).</v>
      </c>
      <c r="J11" s="125" t="s">
        <v>215</v>
      </c>
      <c r="K11" s="125">
        <f>+IF(ISBLANK(VLOOKUP(A11,'Ambiente de Control'!$B$24:$F$235,5,0)),"",VLOOKUP(A11,'Ambiente de Control'!$B$24:$F$235,5,0))</f>
        <v>3</v>
      </c>
      <c r="L11" s="125">
        <f>+IF(ISBLANK(VLOOKUP(A11,'Ambiente de Control'!$B$24:$K$235,9,0)),"",VLOOKUP(A11,'Ambiente de Control'!$B$24:$K$235,9,0))</f>
        <v>3</v>
      </c>
      <c r="M11" s="125">
        <f t="shared" si="5"/>
        <v>1</v>
      </c>
      <c r="N11" s="125">
        <f t="shared" si="4"/>
        <v>0.75</v>
      </c>
      <c r="O11" s="125"/>
      <c r="P11" s="125"/>
    </row>
    <row r="12" spans="1:19" x14ac:dyDescent="0.2">
      <c r="A12" s="125" t="s">
        <v>217</v>
      </c>
      <c r="B12" s="125" t="str">
        <f t="shared" si="2"/>
        <v>3</v>
      </c>
      <c r="C12" s="125"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25" t="s">
        <v>200</v>
      </c>
      <c r="E12" s="125" t="str">
        <f>+VLOOKUP(A12,'Ambiente de Control'!$B$21:$D$235,3,0)</f>
        <v>Dimension Control Interno
Politica de Control Interno
Linea Estrategica</v>
      </c>
      <c r="F12" s="125" t="str">
        <f>+VLOOKUP(A12,'Ambiente de Control'!$B$21:$K$235,10,0)</f>
        <v>Mantenimiento del control</v>
      </c>
      <c r="G12" s="125">
        <f>+VLOOKUP(A12,'Ambiente de Control'!$B$21:$O$235,13,0)</f>
        <v>60.389653000000003</v>
      </c>
      <c r="H12" s="127" t="e">
        <f t="shared" si="3"/>
        <v>#REF!</v>
      </c>
      <c r="I12" s="125" t="str">
        <f t="shared" si="0"/>
        <v>Cuando en el análisis de los requerimientos en los diferenes componentes del MECI se cuente con aspectos evaluados en nivel 1 (presente) y 1 (funcionando); 2 (presente) y 1 (funcionando).</v>
      </c>
      <c r="J12" s="125" t="s">
        <v>215</v>
      </c>
      <c r="K12" s="125">
        <f>+IF(ISBLANK(VLOOKUP(A12,'Ambiente de Control'!$B$24:$F$235,5,0)),"",VLOOKUP(A12,'Ambiente de Control'!$B$24:$F$235,5,0))</f>
        <v>3</v>
      </c>
      <c r="L12" s="125">
        <f>+IF(ISBLANK(VLOOKUP(A12,'Ambiente de Control'!$B$24:$K$235,9,0)),"",VLOOKUP(A12,'Ambiente de Control'!$B$24:$K$235,9,0))</f>
        <v>3</v>
      </c>
      <c r="M12" s="125">
        <f t="shared" si="5"/>
        <v>1</v>
      </c>
      <c r="N12" s="125">
        <f t="shared" si="4"/>
        <v>0.75</v>
      </c>
      <c r="O12" s="125"/>
      <c r="P12" s="125"/>
    </row>
    <row r="13" spans="1:19" x14ac:dyDescent="0.2">
      <c r="A13" s="125" t="s">
        <v>218</v>
      </c>
      <c r="B13" s="125" t="str">
        <f t="shared" si="2"/>
        <v>4</v>
      </c>
      <c r="C13" s="125" t="str">
        <f>+MID(VLOOKUP(A13,'Ambiente de Control'!$B$21:$C$235,2,0),4,LEN(VLOOKUP(A13,'Ambiente de Control'!$B$21:$C$235,2,0))-4)</f>
        <v xml:space="preserve"> Evaluación de la Planeación Estratégica del Talento Humano</v>
      </c>
      <c r="D13" s="125" t="s">
        <v>200</v>
      </c>
      <c r="E13" s="125" t="str">
        <f>+VLOOKUP(A13,'Ambiente de Control'!$B$21:$D$235,3,0)</f>
        <v>Dimension de Talento Humano
Politica Gestion Estrategica del Talento Humano
Dimension de Control Interno
Lineas de Defensa</v>
      </c>
      <c r="F13" s="125" t="str">
        <f>+VLOOKUP(A13,'Ambiente de Control'!$B$21:$K$235,10,0)</f>
        <v>Mantenimiento del control</v>
      </c>
      <c r="G13" s="125">
        <f>+VLOOKUP(A13,'Ambiente de Control'!$B$21:$O$235,13,0)</f>
        <v>60.589649999999999</v>
      </c>
      <c r="H13" s="127" t="e">
        <f t="shared" si="3"/>
        <v>#REF!</v>
      </c>
      <c r="I13" s="125" t="str">
        <f t="shared" si="0"/>
        <v>Cuando en el análisis de los requerimientos en los diferenes componentes del MECI se cuente con aspectos evaluados en nivel 1 (presente) y 1 (funcionando); 2 (presente) y 1 (funcionando).</v>
      </c>
      <c r="J13" s="125" t="s">
        <v>219</v>
      </c>
      <c r="K13" s="125">
        <f>+IF(ISBLANK(VLOOKUP(A13,'Ambiente de Control'!$B$24:$F$235,5,0)),"",VLOOKUP(A13,'Ambiente de Control'!$B$24:$F$235,5,0))</f>
        <v>3</v>
      </c>
      <c r="L13" s="125">
        <f>+IF(ISBLANK(VLOOKUP(A13,'Ambiente de Control'!$B$24:$K$235,9,0)),"",VLOOKUP(A13,'Ambiente de Control'!$B$24:$K$235,9,0))</f>
        <v>3</v>
      </c>
      <c r="M13" s="125">
        <f t="shared" si="5"/>
        <v>1</v>
      </c>
      <c r="N13" s="125">
        <f t="shared" si="4"/>
        <v>0.75</v>
      </c>
      <c r="O13" s="125"/>
      <c r="P13" s="125"/>
    </row>
    <row r="14" spans="1:19" x14ac:dyDescent="0.2">
      <c r="A14" s="125" t="s">
        <v>220</v>
      </c>
      <c r="B14" s="125" t="str">
        <f t="shared" si="2"/>
        <v>4</v>
      </c>
      <c r="C14" s="125" t="str">
        <f>+MID(VLOOKUP(A14,'Ambiente de Control'!$B$21:$C$235,2,0),4,LEN(VLOOKUP(A14,'Ambiente de Control'!$B$21:$C$235,2,0))-4)</f>
        <v xml:space="preserve"> Evaluación de las actividades relacionadas con el Ingreso del personal</v>
      </c>
      <c r="D14" s="125" t="s">
        <v>200</v>
      </c>
      <c r="E14" s="125" t="str">
        <f>+VLOOKUP(A14,'Ambiente de Control'!$B$21:$D$235,3,0)</f>
        <v>Dimension de Talento Humano
Politica Gestion Estrategica del Talento Humano
Dimension de Control Interno
Lineas de Defensa</v>
      </c>
      <c r="F14" s="125" t="str">
        <f>+VLOOKUP(A14,'Ambiente de Control'!$B$21:$K$235,10,0)</f>
        <v>Deficiencia de control (diseño o ejecución)</v>
      </c>
      <c r="G14" s="125">
        <f>+VLOOKUP(A14,'Ambiente de Control'!$B$21:$O$235,13,0)</f>
        <v>20.68965</v>
      </c>
      <c r="H14" s="127" t="e">
        <f t="shared" si="3"/>
        <v>#REF!</v>
      </c>
      <c r="I14" s="125" t="str">
        <f t="shared" si="0"/>
        <v>Cuando en el análisis de los requerimientos en los diferenes componentes del MECI se cuente con aspectos evaluados en nivel 2 (presente) y 3 (funcionando).</v>
      </c>
      <c r="J14" s="125" t="s">
        <v>219</v>
      </c>
      <c r="K14" s="125">
        <f>+IF(ISBLANK(VLOOKUP(A14,'Ambiente de Control'!$B$24:$F$235,5,0)),"",VLOOKUP(A14,'Ambiente de Control'!$B$24:$F$235,5,0))</f>
        <v>2</v>
      </c>
      <c r="L14" s="125">
        <f>+IF(ISBLANK(VLOOKUP(A14,'Ambiente de Control'!$B$24:$K$235,9,0)),"",VLOOKUP(A14,'Ambiente de Control'!$B$24:$K$235,9,0))</f>
        <v>2</v>
      </c>
      <c r="M14" s="125">
        <f t="shared" si="5"/>
        <v>0.5</v>
      </c>
      <c r="N14" s="125">
        <f t="shared" si="4"/>
        <v>0.75</v>
      </c>
      <c r="O14" s="125"/>
      <c r="P14" s="125"/>
    </row>
    <row r="15" spans="1:19" x14ac:dyDescent="0.2">
      <c r="A15" s="125" t="s">
        <v>221</v>
      </c>
      <c r="B15" s="125" t="str">
        <f t="shared" si="2"/>
        <v>4</v>
      </c>
      <c r="C15" s="125" t="str">
        <f>+MID(VLOOKUP(A15,'Ambiente de Control'!$B$21:$C$235,2,0),4,LEN(VLOOKUP(A15,'Ambiente de Control'!$B$21:$C$235,2,0))-4)</f>
        <v xml:space="preserve"> Evaluación de las actividades relacionadas con la permanencia del personal</v>
      </c>
      <c r="D15" s="125" t="s">
        <v>200</v>
      </c>
      <c r="E15" s="125" t="str">
        <f>+VLOOKUP(A15,'Ambiente de Control'!$B$21:$D$235,3,0)</f>
        <v>Dimension de Talento Humano
Politica Gestion Estrategica del Talento Humano
Dimension de Control Interno
Lineas de Defensa</v>
      </c>
      <c r="F15" s="125" t="str">
        <f>+VLOOKUP(A15,'Ambiente de Control'!$B$21:$K$235,10,0)</f>
        <v>Mantenimiento del control</v>
      </c>
      <c r="G15" s="125">
        <f>+VLOOKUP(A15,'Ambiente de Control'!$B$21:$O$235,13,0)</f>
        <v>60.789650000000002</v>
      </c>
      <c r="H15" s="127" t="e">
        <f t="shared" si="3"/>
        <v>#REF!</v>
      </c>
      <c r="I15" s="125" t="str">
        <f t="shared" si="0"/>
        <v>Cuando en el análisis de los requerimientos en los diferenes componentes del MECI se cuente con aspectos evaluados en nivel 1 (presente) y 1 (funcionando); 2 (presente) y 1 (funcionando).</v>
      </c>
      <c r="J15" s="125" t="s">
        <v>219</v>
      </c>
      <c r="K15" s="125">
        <f>+IF(ISBLANK(VLOOKUP(A15,'Ambiente de Control'!$B$24:$F$235,5,0)),"",VLOOKUP(A15,'Ambiente de Control'!$B$24:$F$235,5,0))</f>
        <v>3</v>
      </c>
      <c r="L15" s="125">
        <f>+IF(ISBLANK(VLOOKUP(A15,'Ambiente de Control'!$B$24:$K$235,9,0)),"",VLOOKUP(A15,'Ambiente de Control'!$B$24:$K$235,9,0))</f>
        <v>3</v>
      </c>
      <c r="M15" s="125">
        <f t="shared" si="5"/>
        <v>1</v>
      </c>
      <c r="N15" s="125">
        <f t="shared" si="4"/>
        <v>0.75</v>
      </c>
      <c r="O15" s="125"/>
      <c r="P15" s="125"/>
    </row>
    <row r="16" spans="1:19" x14ac:dyDescent="0.2">
      <c r="A16" s="125" t="s">
        <v>222</v>
      </c>
      <c r="B16" s="125" t="str">
        <f t="shared" si="2"/>
        <v>4</v>
      </c>
      <c r="C16" s="125"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25" t="s">
        <v>200</v>
      </c>
      <c r="E16" s="125" t="str">
        <f>+VLOOKUP(A16,'Ambiente de Control'!$B$21:$D$235,3,0)</f>
        <v>Dimension de Talento Humano
Politica Gestion Estrategica del Talento Humano
Dimension de Control Interno
Lineas de Defensa</v>
      </c>
      <c r="F16" s="125" t="str">
        <f>+VLOOKUP(A16,'Ambiente de Control'!$B$21:$K$235,10,0)</f>
        <v>Mantenimiento del control</v>
      </c>
      <c r="G16" s="125">
        <f>+VLOOKUP(A16,'Ambiente de Control'!$B$21:$O$235,13,0)</f>
        <v>60.889650000000003</v>
      </c>
      <c r="H16" s="127" t="e">
        <f t="shared" si="3"/>
        <v>#REF!</v>
      </c>
      <c r="I16" s="125" t="str">
        <f t="shared" si="0"/>
        <v>Cuando en el análisis de los requerimientos en los diferenes componentes del MECI se cuente con aspectos evaluados en nivel 1 (presente) y 1 (funcionando); 2 (presente) y 1 (funcionando).</v>
      </c>
      <c r="J16" s="125" t="s">
        <v>219</v>
      </c>
      <c r="K16" s="125">
        <f>+IF(ISBLANK(VLOOKUP(A16,'Ambiente de Control'!$B$24:$F$235,5,0)),"",VLOOKUP(A16,'Ambiente de Control'!$B$24:$F$235,5,0))</f>
        <v>3</v>
      </c>
      <c r="L16" s="125">
        <f>+IF(ISBLANK(VLOOKUP(A16,'Ambiente de Control'!$B$24:$K$235,9,0)),"",VLOOKUP(A16,'Ambiente de Control'!$B$24:$K$235,9,0))</f>
        <v>3</v>
      </c>
      <c r="M16" s="125">
        <f t="shared" si="5"/>
        <v>1</v>
      </c>
      <c r="N16" s="125">
        <f t="shared" si="4"/>
        <v>0.75</v>
      </c>
      <c r="O16" s="125"/>
      <c r="P16" s="125"/>
    </row>
    <row r="17" spans="1:16" x14ac:dyDescent="0.2">
      <c r="A17" s="125" t="s">
        <v>223</v>
      </c>
      <c r="B17" s="125" t="str">
        <f t="shared" si="2"/>
        <v>4</v>
      </c>
      <c r="C17" s="125" t="str">
        <f>+MID(VLOOKUP(A17,'Ambiente de Control'!$B$21:$C$235,2,0),4,LEN(VLOOKUP(A17,'Ambiente de Control'!$B$21:$C$235,2,0))-4)</f>
        <v xml:space="preserve"> Evaluación de las actividades relacionadas con el retiro del personal</v>
      </c>
      <c r="D17" s="125" t="s">
        <v>200</v>
      </c>
      <c r="E17" s="125" t="str">
        <f>+VLOOKUP(A17,'Ambiente de Control'!$B$21:$D$235,3,0)</f>
        <v>Dimension de Talento Humano
Politica Gestion Estrategica del Talento Humano
Dimension de Control Interno
Lineas de Defensa</v>
      </c>
      <c r="F17" s="125" t="str">
        <f>+VLOOKUP(A17,'Ambiente de Control'!$B$21:$K$235,10,0)</f>
        <v>Mantenimiento del control</v>
      </c>
      <c r="G17" s="125">
        <f>+VLOOKUP(A17,'Ambiente de Control'!$B$21:$O$235,13,0)</f>
        <v>60.989649999999997</v>
      </c>
      <c r="H17" s="127" t="e">
        <f t="shared" si="3"/>
        <v>#REF!</v>
      </c>
      <c r="I17" s="125" t="str">
        <f t="shared" si="0"/>
        <v>Cuando en el análisis de los requerimientos en los diferenes componentes del MECI se cuente con aspectos evaluados en nivel 1 (presente) y 1 (funcionando); 2 (presente) y 1 (funcionando).</v>
      </c>
      <c r="J17" s="125" t="s">
        <v>219</v>
      </c>
      <c r="K17" s="125">
        <f>+IF(ISBLANK(VLOOKUP(A17,'Ambiente de Control'!$B$24:$F$235,5,0)),"",VLOOKUP(A17,'Ambiente de Control'!$B$24:$F$235,5,0))</f>
        <v>3</v>
      </c>
      <c r="L17" s="125">
        <f>+IF(ISBLANK(VLOOKUP(A17,'Ambiente de Control'!$B$24:$K$235,9,0)),"",VLOOKUP(A17,'Ambiente de Control'!$B$24:$K$235,9,0))</f>
        <v>3</v>
      </c>
      <c r="M17" s="125">
        <f t="shared" si="5"/>
        <v>1</v>
      </c>
      <c r="N17" s="125">
        <f t="shared" si="4"/>
        <v>0.75</v>
      </c>
      <c r="O17" s="125"/>
      <c r="P17" s="125"/>
    </row>
    <row r="18" spans="1:16" x14ac:dyDescent="0.2">
      <c r="A18" s="125" t="s">
        <v>224</v>
      </c>
      <c r="B18" s="125" t="str">
        <f t="shared" si="2"/>
        <v>4</v>
      </c>
      <c r="C18" s="125" t="str">
        <f>+MID(VLOOKUP(A18,'Ambiente de Control'!$B$21:$C$235,2,0),4,LEN(VLOOKUP(A18,'Ambiente de Control'!$B$21:$C$235,2,0))-4)</f>
        <v xml:space="preserve"> Evaluar el impacto del Plan Institucional de Capacitación - PI</v>
      </c>
      <c r="D18" s="125" t="s">
        <v>200</v>
      </c>
      <c r="E18" s="125" t="str">
        <f>+VLOOKUP(A18,'Ambiente de Control'!$B$21:$D$235,3,0)</f>
        <v>Dimension de Talento Humano
Politica Gestion Estrategica del Talento Humano
Dimension de Control Interno
Lineas de Defensa</v>
      </c>
      <c r="F18" s="125" t="str">
        <f>+VLOOKUP(A18,'Ambiente de Control'!$B$21:$K$235,10,0)</f>
        <v>Mantenimiento del control</v>
      </c>
      <c r="G18" s="125">
        <f>+VLOOKUP(A18,'Ambiente de Control'!$B$21:$O$235,13,0)</f>
        <v>60.989652</v>
      </c>
      <c r="H18" s="127" t="e">
        <f t="shared" si="3"/>
        <v>#REF!</v>
      </c>
      <c r="I18" s="125" t="str">
        <f t="shared" si="0"/>
        <v>Cuando en el análisis de los requerimientos en los diferenes componentes del MECI se cuente con aspectos evaluados en nivel 1 (presente) y 1 (funcionando); 2 (presente) y 1 (funcionando).</v>
      </c>
      <c r="J18" s="125" t="s">
        <v>219</v>
      </c>
      <c r="K18" s="125">
        <f>+IF(ISBLANK(VLOOKUP(A18,'Ambiente de Control'!$B$24:$F$235,5,0)),"",VLOOKUP(A18,'Ambiente de Control'!$B$24:$F$235,5,0))</f>
        <v>3</v>
      </c>
      <c r="L18" s="125">
        <f>+IF(ISBLANK(VLOOKUP(A18,'Ambiente de Control'!$B$24:$K$235,9,0)),"",VLOOKUP(A18,'Ambiente de Control'!$B$24:$K$235,9,0))</f>
        <v>3</v>
      </c>
      <c r="M18" s="125">
        <f t="shared" si="5"/>
        <v>1</v>
      </c>
      <c r="N18" s="125">
        <f t="shared" si="4"/>
        <v>0.75</v>
      </c>
      <c r="O18" s="125"/>
      <c r="P18" s="125"/>
    </row>
    <row r="19" spans="1:16" x14ac:dyDescent="0.2">
      <c r="A19" s="125" t="s">
        <v>225</v>
      </c>
      <c r="B19" s="125" t="str">
        <f t="shared" si="2"/>
        <v>4</v>
      </c>
      <c r="C19" s="125" t="str">
        <f>+MID(VLOOKUP(A19,'Ambiente de Control'!$B$21:$C$235,2,0),4,LEN(VLOOKUP(A19,'Ambiente de Control'!$B$21:$C$235,2,0))-4)</f>
        <v xml:space="preserve"> Evaluación frente a los productos y servicios en los cuales participan los contratistas de apoyo</v>
      </c>
      <c r="D19" s="125" t="s">
        <v>200</v>
      </c>
      <c r="E19" s="125" t="str">
        <f>+VLOOKUP(A19,'Ambiente de Control'!$B$21:$D$235,3,0)</f>
        <v>Dimension de Talento Humano
Politica Gestion Estrategica del Talento Humano
Dimension de Control Interno
Lineas de Defensa</v>
      </c>
      <c r="F19" s="125" t="str">
        <f>+VLOOKUP(A19,'Ambiente de Control'!$B$21:$K$235,10,0)</f>
        <v>Deficiencia de control (diseño o ejecución)</v>
      </c>
      <c r="G19" s="125">
        <f>+VLOOKUP(A19,'Ambiente de Control'!$B$21:$O$235,13,0)</f>
        <v>21.896229999999999</v>
      </c>
      <c r="H19" s="127" t="e">
        <f t="shared" ref="H19" si="6">+_xlfn.RANK.EQ(G19,$G$2:$G$82,1)</f>
        <v>#REF!</v>
      </c>
      <c r="I19" s="125" t="str">
        <f t="shared" si="0"/>
        <v>Cuando en el análisis de los requerimientos en los diferenes componentes del MECI se cuente con aspectos evaluados en nivel 2 (presente) y 3 (funcionando).</v>
      </c>
      <c r="J19" s="125" t="s">
        <v>219</v>
      </c>
      <c r="K19" s="125">
        <f>+IF(ISBLANK(VLOOKUP(A19,'Ambiente de Control'!$B$24:$F$235,5,0)),"",VLOOKUP(A19,'Ambiente de Control'!$B$24:$F$235,5,0))</f>
        <v>2</v>
      </c>
      <c r="L19" s="125">
        <f>+IF(ISBLANK(VLOOKUP(A19,'Ambiente de Control'!$B$24:$K$235,9,0)),"",VLOOKUP(A19,'Ambiente de Control'!$B$24:$K$235,9,0))</f>
        <v>1</v>
      </c>
      <c r="M19" s="125">
        <f t="shared" si="5"/>
        <v>0.5</v>
      </c>
      <c r="N19" s="125">
        <f t="shared" ref="N19" si="7">+AVERAGEIF($D$2:$D$82,D19,$M$2:$M$82)</f>
        <v>0.75</v>
      </c>
      <c r="O19" s="125"/>
      <c r="P19" s="125"/>
    </row>
    <row r="20" spans="1:16" x14ac:dyDescent="0.2">
      <c r="A20" s="125" t="s">
        <v>226</v>
      </c>
      <c r="B20" s="125" t="str">
        <f t="shared" si="2"/>
        <v>5</v>
      </c>
      <c r="C20" s="125"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25" t="s">
        <v>200</v>
      </c>
      <c r="E20" s="125" t="str">
        <f>+VLOOKUP(A20,'Ambiente de Control'!$B$21:$D$235,3,0)</f>
        <v>Dimension de Informaciòn y Comunicaciòn
Dimensiòn de Control Interno
Lineas de Defensa</v>
      </c>
      <c r="F20" s="125" t="str">
        <f>+VLOOKUP(A20,'Ambiente de Control'!$B$21:$K$235,10,0)</f>
        <v>Deficiencia de control (diseño o ejecución)</v>
      </c>
      <c r="G20" s="125">
        <f>+VLOOKUP(A20,'Ambiente de Control'!$B$21:$O$235,13,0)</f>
        <v>21.189599999999999</v>
      </c>
      <c r="H20" s="127" t="e">
        <f t="shared" si="3"/>
        <v>#REF!</v>
      </c>
      <c r="I20" s="125" t="str">
        <f t="shared" si="0"/>
        <v>Cuando en el análisis de los requerimientos en los diferenes componentes del MECI se cuente con aspectos evaluados en nivel 2 (presente) y 3 (funcionando).</v>
      </c>
      <c r="J20" s="125" t="s">
        <v>227</v>
      </c>
      <c r="K20" s="125">
        <f>+IF(ISBLANK(VLOOKUP(A20,'Ambiente de Control'!$B$24:$F$235,5,0)),"",VLOOKUP(A20,'Ambiente de Control'!$B$24:$F$235,5,0))</f>
        <v>2</v>
      </c>
      <c r="L20" s="125">
        <f>+IF(ISBLANK(VLOOKUP(A20,'Ambiente de Control'!$B$24:$K$235,9,0)),"",VLOOKUP(A20,'Ambiente de Control'!$B$24:$K$235,9,0))</f>
        <v>2</v>
      </c>
      <c r="M20" s="125">
        <f t="shared" si="5"/>
        <v>0.5</v>
      </c>
      <c r="N20" s="125">
        <f t="shared" si="4"/>
        <v>0.75</v>
      </c>
      <c r="O20" s="125"/>
      <c r="P20" s="125"/>
    </row>
    <row r="21" spans="1:16" x14ac:dyDescent="0.2">
      <c r="A21" s="125" t="s">
        <v>228</v>
      </c>
      <c r="B21" s="125" t="str">
        <f t="shared" si="2"/>
        <v>5</v>
      </c>
      <c r="C21" s="125" t="str">
        <f>+MID(VLOOKUP(A21,'Ambiente de Control'!$B$21:$C$235,2,0),4,LEN(VLOOKUP(A21,'Ambiente de Control'!$B$21:$C$235,2,0))-4)</f>
        <v xml:space="preserve"> La Alta Dirección analiza la información asociada con la generación de reportes financieros</v>
      </c>
      <c r="D21" s="125" t="s">
        <v>200</v>
      </c>
      <c r="E21" s="125" t="str">
        <f>+VLOOKUP(A21,'Ambiente de Control'!$B$21:$D$235,3,0)</f>
        <v xml:space="preserve">
Dimensiòn de Control Interno
Linea de Estrategica</v>
      </c>
      <c r="F21" s="125" t="str">
        <f>+VLOOKUP(A21,'Ambiente de Control'!$B$21:$K$235,10,0)</f>
        <v>Deficiencia de control (diseño o ejecución)</v>
      </c>
      <c r="G21" s="125">
        <f>+VLOOKUP(A21,'Ambiente de Control'!$B$21:$O$235,13,0)</f>
        <v>21.289650000000002</v>
      </c>
      <c r="H21" s="127" t="e">
        <f t="shared" si="3"/>
        <v>#REF!</v>
      </c>
      <c r="I21" s="125" t="str">
        <f t="shared" si="0"/>
        <v>Cuando en el análisis de los requerimientos en los diferenes componentes del MECI se cuente con aspectos evaluados en nivel 2 (presente) y 3 (funcionando).</v>
      </c>
      <c r="J21" s="125" t="s">
        <v>227</v>
      </c>
      <c r="K21" s="125">
        <f>+IF(ISBLANK(VLOOKUP(A21,'Ambiente de Control'!$B$24:$F$235,5,0)),"",VLOOKUP(A21,'Ambiente de Control'!$B$24:$F$235,5,0))</f>
        <v>2</v>
      </c>
      <c r="L21" s="125">
        <f>+IF(ISBLANK(VLOOKUP(A21,'Ambiente de Control'!$B$24:$K$235,9,0)),"",VLOOKUP(A21,'Ambiente de Control'!$B$24:$K$235,9,0))</f>
        <v>2</v>
      </c>
      <c r="M21" s="125">
        <f t="shared" si="5"/>
        <v>0.5</v>
      </c>
      <c r="N21" s="125">
        <f t="shared" si="4"/>
        <v>0.75</v>
      </c>
      <c r="O21" s="125"/>
      <c r="P21" s="125"/>
    </row>
    <row r="22" spans="1:16" x14ac:dyDescent="0.2">
      <c r="A22" s="125" t="s">
        <v>229</v>
      </c>
      <c r="B22" s="125" t="str">
        <f t="shared" si="2"/>
        <v>5</v>
      </c>
      <c r="C22" s="125"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25" t="s">
        <v>200</v>
      </c>
      <c r="E22" s="125" t="str">
        <f>+VLOOKUP(A22,'Ambiente de Control'!$B$21:$D$235,3,0)</f>
        <v>Dimensiòn de Control Interno
Lineas de Defensa</v>
      </c>
      <c r="F22" s="125" t="str">
        <f>+VLOOKUP(A22,'Ambiente de Control'!$B$21:$K$235,10,0)</f>
        <v>Mantenimiento del control</v>
      </c>
      <c r="G22" s="125">
        <f>+VLOOKUP(A22,'Ambiente de Control'!$B$21:$O$235,13,0)</f>
        <v>61.389629999999997</v>
      </c>
      <c r="H22" s="127" t="e">
        <f t="shared" si="3"/>
        <v>#REF!</v>
      </c>
      <c r="I22" s="125" t="str">
        <f t="shared" si="0"/>
        <v>Cuando en el análisis de los requerimientos en los diferenes componentes del MECI se cuente con aspectos evaluados en nivel 1 (presente) y 1 (funcionando); 2 (presente) y 1 (funcionando).</v>
      </c>
      <c r="J22" s="125" t="s">
        <v>227</v>
      </c>
      <c r="K22" s="125">
        <f>+IF(ISBLANK(VLOOKUP(A22,'Ambiente de Control'!$B$24:$F$235,5,0)),"",VLOOKUP(A22,'Ambiente de Control'!$B$24:$F$235,5,0))</f>
        <v>3</v>
      </c>
      <c r="L22" s="125">
        <f>+IF(ISBLANK(VLOOKUP(A22,'Ambiente de Control'!$B$24:$K$235,9,0)),"",VLOOKUP(A22,'Ambiente de Control'!$B$24:$K$235,9,0))</f>
        <v>3</v>
      </c>
      <c r="M22" s="125">
        <f t="shared" si="5"/>
        <v>1</v>
      </c>
      <c r="N22" s="125">
        <f t="shared" si="4"/>
        <v>0.75</v>
      </c>
      <c r="O22" s="125"/>
      <c r="P22" s="125"/>
    </row>
    <row r="23" spans="1:16" x14ac:dyDescent="0.2">
      <c r="A23" s="125" t="s">
        <v>230</v>
      </c>
      <c r="B23" s="125" t="str">
        <f t="shared" si="2"/>
        <v>5</v>
      </c>
      <c r="C23" s="125"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25" t="s">
        <v>200</v>
      </c>
      <c r="E23" s="125" t="str">
        <f>+VLOOKUP(A23,'Ambiente de Control'!$B$21:$D$235,3,0)</f>
        <v>Dimension de Gestion con Valores para Resultado
Politica de Fortalecimiento Organizacional y Simplificaciòn de Procesos
Dimension Control Interno
Lineas de Defensa</v>
      </c>
      <c r="F23" s="125" t="str">
        <f>+VLOOKUP(A23,'Ambiente de Control'!$B$21:$K$235,10,0)</f>
        <v>Deficiencia de control (diseño o ejecución)</v>
      </c>
      <c r="G23" s="125">
        <f>+VLOOKUP(A23,'Ambiente de Control'!$B$21:$O$235,13,0)</f>
        <v>21.489629999999998</v>
      </c>
      <c r="H23" s="127" t="e">
        <f t="shared" si="3"/>
        <v>#REF!</v>
      </c>
      <c r="I23" s="125" t="str">
        <f t="shared" si="0"/>
        <v>Cuando en el análisis de los requerimientos en los diferenes componentes del MECI se cuente con aspectos evaluados en nivel 2 (presente) y 3 (funcionando).</v>
      </c>
      <c r="J23" s="125" t="s">
        <v>227</v>
      </c>
      <c r="K23" s="125">
        <f>+IF(ISBLANK(VLOOKUP(A23,'Ambiente de Control'!$B$24:$F$235,5,0)),"",VLOOKUP(A23,'Ambiente de Control'!$B$24:$F$235,5,0))</f>
        <v>3</v>
      </c>
      <c r="L23" s="125">
        <f>+IF(ISBLANK(VLOOKUP(A23,'Ambiente de Control'!$B$24:$K$235,9,0)),"",VLOOKUP(A23,'Ambiente de Control'!$B$24:$K$235,9,0))</f>
        <v>2</v>
      </c>
      <c r="M23" s="125">
        <f t="shared" si="5"/>
        <v>0.5</v>
      </c>
      <c r="N23" s="125">
        <f t="shared" si="4"/>
        <v>0.75</v>
      </c>
      <c r="O23" s="125"/>
      <c r="P23" s="125"/>
    </row>
    <row r="24" spans="1:16" x14ac:dyDescent="0.2">
      <c r="A24" s="125" t="s">
        <v>231</v>
      </c>
      <c r="B24" s="125" t="str">
        <f t="shared" si="2"/>
        <v>5</v>
      </c>
      <c r="C24" s="125" t="str">
        <f>+MID(VLOOKUP(A24,'Ambiente de Control'!$B$21:$C$235,2,0),4,LEN(VLOOKUP(A24,'Ambiente de Control'!$B$21:$C$235,2,0))-4)</f>
        <v xml:space="preserve"> La entidad aprueba y hace seguimiento al Plan Anual de Auditoría presentado y ejecutado por parte de la Oficina de Control Interno</v>
      </c>
      <c r="D24" s="125" t="s">
        <v>200</v>
      </c>
      <c r="E24" s="125" t="str">
        <f>+VLOOKUP(A24,'Ambiente de Control'!$B$21:$D$235,3,0)</f>
        <v>Dimension Control Interno
Linea Estrategica</v>
      </c>
      <c r="F24" s="125" t="str">
        <f>+VLOOKUP(A24,'Ambiente de Control'!$B$21:$K$235,10,0)</f>
        <v>Mantenimiento del control</v>
      </c>
      <c r="G24" s="125">
        <f>+VLOOKUP(A24,'Ambiente de Control'!$B$21:$O$235,13,0)</f>
        <v>61.589649999999999</v>
      </c>
      <c r="H24" s="127" t="e">
        <f t="shared" si="3"/>
        <v>#REF!</v>
      </c>
      <c r="I24" s="125" t="str">
        <f t="shared" si="0"/>
        <v>Cuando en el análisis de los requerimientos en los diferenes componentes del MECI se cuente con aspectos evaluados en nivel 1 (presente) y 1 (funcionando); 2 (presente) y 1 (funcionando).</v>
      </c>
      <c r="J24" s="125" t="s">
        <v>227</v>
      </c>
      <c r="K24" s="125">
        <f>+IF(ISBLANK(VLOOKUP(A24,'Ambiente de Control'!$B$24:$F$235,5,0)),"",VLOOKUP(A24,'Ambiente de Control'!$B$24:$F$235,5,0))</f>
        <v>3</v>
      </c>
      <c r="L24" s="125">
        <f>+IF(ISBLANK(VLOOKUP(A24,'Ambiente de Control'!$B$24:$K$235,9,0)),"",VLOOKUP(A24,'Ambiente de Control'!$B$24:$K$235,9,0))</f>
        <v>3</v>
      </c>
      <c r="M24" s="125">
        <f t="shared" si="5"/>
        <v>1</v>
      </c>
      <c r="N24" s="125">
        <f t="shared" si="4"/>
        <v>0.75</v>
      </c>
      <c r="O24" s="125"/>
      <c r="P24" s="125"/>
    </row>
    <row r="25" spans="1:16" x14ac:dyDescent="0.2">
      <c r="A25" s="125" t="s">
        <v>232</v>
      </c>
      <c r="B25" s="125" t="str">
        <f t="shared" si="2"/>
        <v>5</v>
      </c>
      <c r="C25" s="125" t="str">
        <f>+MID(VLOOKUP(A25,'Ambiente de Control'!$B$21:$C$235,2,0),4,LEN(VLOOKUP(A25,'Ambiente de Control'!$B$21:$C$235,2,0))-4)</f>
        <v xml:space="preserve"> La entidad analiza los informes presentados por la Oficina de Control Interno y evalúa su impacto en relación con la mejora institucional</v>
      </c>
      <c r="D25" s="125" t="s">
        <v>200</v>
      </c>
      <c r="E25" s="125" t="str">
        <f>+VLOOKUP(A25,'Ambiente de Control'!$B$21:$D$235,3,0)</f>
        <v>Dimension Control Interno
Linea Estrategica</v>
      </c>
      <c r="F25" s="125" t="str">
        <f>+VLOOKUP(A25,'Ambiente de Control'!$B$21:$K$235,10,0)</f>
        <v>Oportunidad de mejora</v>
      </c>
      <c r="G25" s="125">
        <f>+VLOOKUP(A25,'Ambiente de Control'!$B$21:$O$235,13,0)</f>
        <v>41.689653</v>
      </c>
      <c r="H25" s="127" t="e">
        <f t="shared" si="3"/>
        <v>#REF!</v>
      </c>
      <c r="I25" s="125" t="str">
        <f t="shared" si="0"/>
        <v>Cuando en el análisis de los requerimientos en los diferenes componentes del MECI se cuente con aspectos evaluados en nivel 2 (presente) y 2 (funcionando); 3 (presente) y 1 (funcionando); 3 (presente) y 2 (funcionando).</v>
      </c>
      <c r="J25" s="125" t="s">
        <v>227</v>
      </c>
      <c r="K25" s="125">
        <f>+IF(ISBLANK(VLOOKUP(A25,'Ambiente de Control'!$B$24:$F$235,5,0)),"",VLOOKUP(A25,'Ambiente de Control'!$B$24:$F$235,5,0))</f>
        <v>2</v>
      </c>
      <c r="L25" s="125">
        <f>+IF(ISBLANK(VLOOKUP(A25,'Ambiente de Control'!$B$24:$K$235,9,0)),"",VLOOKUP(A25,'Ambiente de Control'!$B$24:$K$235,9,0))</f>
        <v>3</v>
      </c>
      <c r="M25" s="125">
        <f t="shared" si="5"/>
        <v>0.75</v>
      </c>
      <c r="N25" s="125">
        <f t="shared" si="4"/>
        <v>0.75</v>
      </c>
      <c r="O25" s="125"/>
      <c r="P25" s="125"/>
    </row>
    <row r="26" spans="1:16" x14ac:dyDescent="0.2">
      <c r="A26" s="125" t="s">
        <v>233</v>
      </c>
      <c r="B26" s="125" t="str">
        <f t="shared" si="2"/>
        <v>6</v>
      </c>
      <c r="C26" s="125" t="e">
        <f>+MID(VLOOKUP(A26,#REF!,2,0),4,LEN(VLOOKUP(A26,#REF!,2,0))-4)</f>
        <v>#REF!</v>
      </c>
      <c r="D26" s="125" t="s">
        <v>186</v>
      </c>
      <c r="E26" s="125" t="e">
        <f>+VLOOKUP(A26,#REF!,3,0)</f>
        <v>#REF!</v>
      </c>
      <c r="F26" s="125" t="e">
        <f>+VLOOKUP(A26,#REF!,10,0)</f>
        <v>#REF!</v>
      </c>
      <c r="G26" s="125" t="e">
        <f>+VLOOKUP(A26,#REF!,13,0)</f>
        <v>#REF!</v>
      </c>
      <c r="H26" s="127" t="e">
        <f t="shared" si="3"/>
        <v>#REF!</v>
      </c>
      <c r="I26" s="125" t="e">
        <f t="shared" si="0"/>
        <v>#REF!</v>
      </c>
      <c r="J26" s="125" t="s">
        <v>234</v>
      </c>
      <c r="K26" s="125" t="e">
        <f>+IF(ISBLANK(VLOOKUP(A26,#REF!,5,0)),"",VLOOKUP(A26,#REF!,5,0))</f>
        <v>#REF!</v>
      </c>
      <c r="L26" s="125" t="e">
        <f>+IF(ISBLANK(VLOOKUP(A26,#REF!,9,9)),"",VLOOKUP(A26,#REF!,9,9))</f>
        <v>#REF!</v>
      </c>
      <c r="M26" s="125" t="e">
        <f t="shared" si="5"/>
        <v>#REF!</v>
      </c>
      <c r="N26" s="125" t="e">
        <f t="shared" si="4"/>
        <v>#REF!</v>
      </c>
      <c r="O26" s="125"/>
      <c r="P26" s="125"/>
    </row>
    <row r="27" spans="1:16" x14ac:dyDescent="0.2">
      <c r="A27" s="125" t="s">
        <v>235</v>
      </c>
      <c r="B27" s="125" t="str">
        <f t="shared" si="2"/>
        <v>6</v>
      </c>
      <c r="C27" s="125" t="e">
        <f>+MID(VLOOKUP(A27,#REF!,2,0),4,LEN(VLOOKUP(A27,#REF!,2,0))-4)</f>
        <v>#REF!</v>
      </c>
      <c r="D27" s="125" t="s">
        <v>186</v>
      </c>
      <c r="E27" s="125" t="e">
        <f>+VLOOKUP(A27,#REF!,3,0)</f>
        <v>#REF!</v>
      </c>
      <c r="F27" s="125" t="e">
        <f>+VLOOKUP(A27,#REF!,10,0)</f>
        <v>#REF!</v>
      </c>
      <c r="G27" s="125" t="e">
        <f>+VLOOKUP(A27,#REF!,13,0)</f>
        <v>#REF!</v>
      </c>
      <c r="H27" s="127" t="e">
        <f t="shared" si="3"/>
        <v>#REF!</v>
      </c>
      <c r="I27" s="125" t="e">
        <f t="shared" si="0"/>
        <v>#REF!</v>
      </c>
      <c r="J27" s="125" t="s">
        <v>234</v>
      </c>
      <c r="K27" s="125" t="e">
        <f>+IF(ISBLANK(VLOOKUP(A27,#REF!,5,0)),"",VLOOKUP(A27,#REF!,5,0))</f>
        <v>#REF!</v>
      </c>
      <c r="L27" s="125" t="e">
        <f>+IF(ISBLANK(VLOOKUP(A27,#REF!,9,9)),"",VLOOKUP(A27,#REF!,9,9))</f>
        <v>#REF!</v>
      </c>
      <c r="M27" s="125" t="e">
        <f t="shared" si="5"/>
        <v>#REF!</v>
      </c>
      <c r="N27" s="125" t="e">
        <f t="shared" si="4"/>
        <v>#REF!</v>
      </c>
      <c r="O27" s="125"/>
      <c r="P27" s="125"/>
    </row>
    <row r="28" spans="1:16" x14ac:dyDescent="0.2">
      <c r="A28" s="125" t="s">
        <v>236</v>
      </c>
      <c r="B28" s="125" t="str">
        <f t="shared" si="2"/>
        <v>6</v>
      </c>
      <c r="C28" s="125" t="e">
        <f>+MID(VLOOKUP(A28,#REF!,2,0),4,LEN(VLOOKUP(A28,#REF!,2,0))-4)</f>
        <v>#REF!</v>
      </c>
      <c r="D28" s="125" t="s">
        <v>186</v>
      </c>
      <c r="E28" s="125" t="e">
        <f>+VLOOKUP(A28,#REF!,3,0)</f>
        <v>#REF!</v>
      </c>
      <c r="F28" s="125" t="e">
        <f>+VLOOKUP(A28,#REF!,10,0)</f>
        <v>#REF!</v>
      </c>
      <c r="G28" s="125" t="e">
        <f>+VLOOKUP(A28,#REF!,13,0)</f>
        <v>#REF!</v>
      </c>
      <c r="H28" s="127" t="e">
        <f t="shared" si="3"/>
        <v>#REF!</v>
      </c>
      <c r="I28" s="125" t="e">
        <f t="shared" si="0"/>
        <v>#REF!</v>
      </c>
      <c r="J28" s="125" t="s">
        <v>234</v>
      </c>
      <c r="K28" s="125" t="e">
        <f>+IF(ISBLANK(VLOOKUP(A28,#REF!,5,0)),"",VLOOKUP(A28,#REF!,5,0))</f>
        <v>#REF!</v>
      </c>
      <c r="L28" s="125" t="e">
        <f>+IF(ISBLANK(VLOOKUP(A28,#REF!,9,9)),"",VLOOKUP(A28,#REF!,9,9))</f>
        <v>#REF!</v>
      </c>
      <c r="M28" s="125" t="e">
        <f t="shared" si="5"/>
        <v>#REF!</v>
      </c>
      <c r="N28" s="125" t="e">
        <f t="shared" si="4"/>
        <v>#REF!</v>
      </c>
      <c r="O28" s="125"/>
      <c r="P28" s="125"/>
    </row>
    <row r="29" spans="1:16" x14ac:dyDescent="0.2">
      <c r="A29" s="125" t="s">
        <v>237</v>
      </c>
      <c r="B29" s="125" t="str">
        <f t="shared" si="2"/>
        <v>7</v>
      </c>
      <c r="C29" s="125" t="e">
        <f>+MID(VLOOKUP(A29,#REF!,2,0),4,LEN(VLOOKUP(A29,#REF!,2,0))-4)</f>
        <v>#REF!</v>
      </c>
      <c r="D29" s="125" t="s">
        <v>186</v>
      </c>
      <c r="E29" s="125" t="e">
        <f>+VLOOKUP(A29,#REF!,3,0)</f>
        <v>#REF!</v>
      </c>
      <c r="F29" s="125" t="e">
        <f>+VLOOKUP(A29,#REF!,10,0)</f>
        <v>#REF!</v>
      </c>
      <c r="G29" s="125" t="e">
        <f>+VLOOKUP(A29,#REF!,13,0)</f>
        <v>#REF!</v>
      </c>
      <c r="H29" s="127" t="e">
        <f t="shared" si="3"/>
        <v>#REF!</v>
      </c>
      <c r="I29" s="125" t="e">
        <f t="shared" si="0"/>
        <v>#REF!</v>
      </c>
      <c r="J29" s="125" t="s">
        <v>238</v>
      </c>
      <c r="K29" s="125" t="e">
        <f>+IF(ISBLANK(VLOOKUP(A29,#REF!,5,0)),"",VLOOKUP(A29,#REF!,5,0))</f>
        <v>#REF!</v>
      </c>
      <c r="L29" s="125" t="e">
        <f>+IF(ISBLANK(VLOOKUP(A29,#REF!,9,9)),"",VLOOKUP(A29,#REF!,9,9))</f>
        <v>#REF!</v>
      </c>
      <c r="M29" s="125" t="e">
        <f t="shared" si="5"/>
        <v>#REF!</v>
      </c>
      <c r="N29" s="125" t="e">
        <f t="shared" si="4"/>
        <v>#REF!</v>
      </c>
      <c r="O29" s="125"/>
      <c r="P29" s="125"/>
    </row>
    <row r="30" spans="1:16" x14ac:dyDescent="0.2">
      <c r="A30" s="125" t="s">
        <v>239</v>
      </c>
      <c r="B30" s="125" t="str">
        <f t="shared" si="2"/>
        <v>7</v>
      </c>
      <c r="C30" s="125" t="e">
        <f>+MID(VLOOKUP(A30,#REF!,2,0),4,LEN(VLOOKUP(A30,#REF!,2,0))-4)</f>
        <v>#REF!</v>
      </c>
      <c r="D30" s="125" t="s">
        <v>186</v>
      </c>
      <c r="E30" s="125" t="e">
        <f>+VLOOKUP(A30,#REF!,3,0)</f>
        <v>#REF!</v>
      </c>
      <c r="F30" s="125" t="e">
        <f>+VLOOKUP(A30,#REF!,10,0)</f>
        <v>#REF!</v>
      </c>
      <c r="G30" s="125" t="e">
        <f>+VLOOKUP(A30,#REF!,13,0)</f>
        <v>#REF!</v>
      </c>
      <c r="H30" s="127" t="e">
        <f t="shared" si="3"/>
        <v>#REF!</v>
      </c>
      <c r="I30" s="125" t="e">
        <f t="shared" si="0"/>
        <v>#REF!</v>
      </c>
      <c r="J30" s="125" t="s">
        <v>238</v>
      </c>
      <c r="K30" s="125" t="e">
        <f>+IF(ISBLANK(VLOOKUP(A30,#REF!,5,0)),"",VLOOKUP(A30,#REF!,5,0))</f>
        <v>#REF!</v>
      </c>
      <c r="L30" s="125" t="e">
        <f>+IF(ISBLANK(VLOOKUP(A30,#REF!,9,9)),"",VLOOKUP(A30,#REF!,9,9))</f>
        <v>#REF!</v>
      </c>
      <c r="M30" s="125" t="e">
        <f t="shared" si="5"/>
        <v>#REF!</v>
      </c>
      <c r="N30" s="125" t="e">
        <f t="shared" si="4"/>
        <v>#REF!</v>
      </c>
      <c r="O30" s="125"/>
      <c r="P30" s="125"/>
    </row>
    <row r="31" spans="1:16" x14ac:dyDescent="0.2">
      <c r="A31" s="125" t="s">
        <v>240</v>
      </c>
      <c r="B31" s="125" t="str">
        <f t="shared" si="2"/>
        <v>7</v>
      </c>
      <c r="C31" s="125" t="e">
        <f>+MID(VLOOKUP(A31,#REF!,2,0),4,LEN(VLOOKUP(A31,#REF!,2,0))-4)</f>
        <v>#REF!</v>
      </c>
      <c r="D31" s="125" t="s">
        <v>186</v>
      </c>
      <c r="E31" s="125" t="e">
        <f>+VLOOKUP(A31,#REF!,3,0)</f>
        <v>#REF!</v>
      </c>
      <c r="F31" s="125" t="e">
        <f>+VLOOKUP(A31,#REF!,10,0)</f>
        <v>#REF!</v>
      </c>
      <c r="G31" s="125" t="e">
        <f>+VLOOKUP(A31,#REF!,13,0)</f>
        <v>#REF!</v>
      </c>
      <c r="H31" s="127" t="e">
        <f t="shared" si="3"/>
        <v>#REF!</v>
      </c>
      <c r="I31" s="125" t="e">
        <f t="shared" si="0"/>
        <v>#REF!</v>
      </c>
      <c r="J31" s="125" t="s">
        <v>238</v>
      </c>
      <c r="K31" s="125" t="e">
        <f>+IF(ISBLANK(VLOOKUP(A31,#REF!,5,0)),"",VLOOKUP(A31,#REF!,5,0))</f>
        <v>#REF!</v>
      </c>
      <c r="L31" s="125" t="e">
        <f>+IF(ISBLANK(VLOOKUP(A31,#REF!,9,9)),"",VLOOKUP(A31,#REF!,9,9))</f>
        <v>#REF!</v>
      </c>
      <c r="M31" s="125" t="e">
        <f t="shared" si="5"/>
        <v>#REF!</v>
      </c>
      <c r="N31" s="125" t="e">
        <f t="shared" si="4"/>
        <v>#REF!</v>
      </c>
      <c r="O31" s="125"/>
      <c r="P31" s="125"/>
    </row>
    <row r="32" spans="1:16" x14ac:dyDescent="0.2">
      <c r="A32" s="125" t="s">
        <v>241</v>
      </c>
      <c r="B32" s="125" t="str">
        <f t="shared" si="2"/>
        <v>7</v>
      </c>
      <c r="C32" s="125" t="e">
        <f>+MID(VLOOKUP(A32,#REF!,2,0),4,LEN(VLOOKUP(A32,#REF!,2,0))-4)</f>
        <v>#REF!</v>
      </c>
      <c r="D32" s="125" t="s">
        <v>186</v>
      </c>
      <c r="E32" s="125" t="e">
        <f>+VLOOKUP(A32,#REF!,3,0)</f>
        <v>#REF!</v>
      </c>
      <c r="F32" s="125" t="e">
        <f>+VLOOKUP(A32,#REF!,10,0)</f>
        <v>#REF!</v>
      </c>
      <c r="G32" s="125" t="e">
        <f>+VLOOKUP(A32,#REF!,13,0)</f>
        <v>#REF!</v>
      </c>
      <c r="H32" s="127" t="e">
        <f t="shared" si="3"/>
        <v>#REF!</v>
      </c>
      <c r="I32" s="125" t="e">
        <f t="shared" si="0"/>
        <v>#REF!</v>
      </c>
      <c r="J32" s="125" t="s">
        <v>238</v>
      </c>
      <c r="K32" s="125" t="e">
        <f>+IF(ISBLANK(VLOOKUP(A32,#REF!,5,0)),"",VLOOKUP(A32,#REF!,5,0))</f>
        <v>#REF!</v>
      </c>
      <c r="L32" s="125" t="e">
        <f>+IF(ISBLANK(VLOOKUP(A32,#REF!,9,9)),"",VLOOKUP(A32,#REF!,9,9))</f>
        <v>#REF!</v>
      </c>
      <c r="M32" s="125" t="e">
        <f t="shared" si="5"/>
        <v>#REF!</v>
      </c>
      <c r="N32" s="125" t="e">
        <f t="shared" si="4"/>
        <v>#REF!</v>
      </c>
      <c r="O32" s="125"/>
      <c r="P32" s="125"/>
    </row>
    <row r="33" spans="1:16" x14ac:dyDescent="0.2">
      <c r="A33" s="125" t="s">
        <v>242</v>
      </c>
      <c r="B33" s="125" t="str">
        <f t="shared" si="2"/>
        <v>7</v>
      </c>
      <c r="C33" s="125" t="e">
        <f>+MID(VLOOKUP(A33,#REF!,2,0),4,LEN(VLOOKUP(A33,#REF!,2,0))-4)</f>
        <v>#REF!</v>
      </c>
      <c r="D33" s="125" t="s">
        <v>186</v>
      </c>
      <c r="E33" s="125" t="e">
        <f>+VLOOKUP(A33,#REF!,3,0)</f>
        <v>#REF!</v>
      </c>
      <c r="F33" s="125" t="e">
        <f>+VLOOKUP(A33,#REF!,10,0)</f>
        <v>#REF!</v>
      </c>
      <c r="G33" s="125" t="e">
        <f>+VLOOKUP(A33,#REF!,13,0)</f>
        <v>#REF!</v>
      </c>
      <c r="H33" s="127" t="e">
        <f t="shared" si="3"/>
        <v>#REF!</v>
      </c>
      <c r="I33" s="125" t="e">
        <f t="shared" si="0"/>
        <v>#REF!</v>
      </c>
      <c r="J33" s="125" t="s">
        <v>238</v>
      </c>
      <c r="K33" s="125" t="e">
        <f>+IF(ISBLANK(VLOOKUP(A33,#REF!,5,0)),"",VLOOKUP(A33,#REF!,5,0))</f>
        <v>#REF!</v>
      </c>
      <c r="L33" s="125" t="e">
        <f>+IF(ISBLANK(VLOOKUP(A33,#REF!,9,9)),"",VLOOKUP(A33,#REF!,9,9))</f>
        <v>#REF!</v>
      </c>
      <c r="M33" s="125" t="e">
        <f t="shared" si="5"/>
        <v>#REF!</v>
      </c>
      <c r="N33" s="125" t="e">
        <f t="shared" si="4"/>
        <v>#REF!</v>
      </c>
      <c r="O33" s="125"/>
      <c r="P33" s="125"/>
    </row>
    <row r="34" spans="1:16" x14ac:dyDescent="0.2">
      <c r="A34" s="125" t="s">
        <v>243</v>
      </c>
      <c r="B34" s="125" t="str">
        <f t="shared" si="2"/>
        <v>8</v>
      </c>
      <c r="C34" s="125" t="e">
        <f>+MID(VLOOKUP(A34,#REF!,2,0),4,LEN(VLOOKUP(A34,#REF!,2,0))-4)</f>
        <v>#REF!</v>
      </c>
      <c r="D34" s="125" t="s">
        <v>186</v>
      </c>
      <c r="E34" s="125" t="e">
        <f>+VLOOKUP(A34,#REF!,3,0)</f>
        <v>#REF!</v>
      </c>
      <c r="F34" s="125" t="e">
        <f>+VLOOKUP(A34,#REF!,10,0)</f>
        <v>#REF!</v>
      </c>
      <c r="G34" s="125" t="e">
        <f>+VLOOKUP(A34,#REF!,13,0)</f>
        <v>#REF!</v>
      </c>
      <c r="H34" s="127" t="e">
        <f t="shared" si="3"/>
        <v>#REF!</v>
      </c>
      <c r="I34" s="125" t="e">
        <f t="shared" ref="I34:I65" si="8">+IF(F34=$F$2,$P$4,IF(F34=$F$3,$P$2,$P$3))</f>
        <v>#REF!</v>
      </c>
      <c r="J34" s="125" t="s">
        <v>244</v>
      </c>
      <c r="K34" s="125" t="e">
        <f>+IF(ISBLANK(VLOOKUP(A34,#REF!,5,0)),"",VLOOKUP(A34,#REF!,5,0))</f>
        <v>#REF!</v>
      </c>
      <c r="L34" s="125" t="e">
        <f>+IF(ISBLANK(VLOOKUP(A34,#REF!,9,9)),"",VLOOKUP(A34,#REF!,9,9))</f>
        <v>#REF!</v>
      </c>
      <c r="M34" s="125" t="e">
        <f t="shared" si="5"/>
        <v>#REF!</v>
      </c>
      <c r="N34" s="125" t="e">
        <f t="shared" si="4"/>
        <v>#REF!</v>
      </c>
      <c r="O34" s="125"/>
      <c r="P34" s="125"/>
    </row>
    <row r="35" spans="1:16" x14ac:dyDescent="0.2">
      <c r="A35" s="125" t="s">
        <v>245</v>
      </c>
      <c r="B35" s="125" t="str">
        <f t="shared" si="2"/>
        <v>8</v>
      </c>
      <c r="C35" s="125" t="e">
        <f>+MID(VLOOKUP(A35,#REF!,2,0),4,LEN(VLOOKUP(A35,#REF!,2,0))-4)</f>
        <v>#REF!</v>
      </c>
      <c r="D35" s="125" t="s">
        <v>186</v>
      </c>
      <c r="E35" s="125" t="e">
        <f>+VLOOKUP(A35,#REF!,3,0)</f>
        <v>#REF!</v>
      </c>
      <c r="F35" s="125" t="e">
        <f>+VLOOKUP(A35,#REF!,10,0)</f>
        <v>#REF!</v>
      </c>
      <c r="G35" s="125" t="e">
        <f>+VLOOKUP(A35,#REF!,13,0)</f>
        <v>#REF!</v>
      </c>
      <c r="H35" s="127" t="e">
        <f t="shared" si="3"/>
        <v>#REF!</v>
      </c>
      <c r="I35" s="125" t="e">
        <f t="shared" si="8"/>
        <v>#REF!</v>
      </c>
      <c r="J35" s="125" t="s">
        <v>244</v>
      </c>
      <c r="K35" s="125" t="e">
        <f>+IF(ISBLANK(VLOOKUP(A35,#REF!,5,0)),"",VLOOKUP(A35,#REF!,5,0))</f>
        <v>#REF!</v>
      </c>
      <c r="L35" s="125" t="e">
        <f>+IF(ISBLANK(VLOOKUP(A35,#REF!,9,9)),"",VLOOKUP(A35,#REF!,9,9))</f>
        <v>#REF!</v>
      </c>
      <c r="M35" s="125" t="e">
        <f t="shared" si="5"/>
        <v>#REF!</v>
      </c>
      <c r="N35" s="125" t="e">
        <f t="shared" si="4"/>
        <v>#REF!</v>
      </c>
      <c r="O35" s="125"/>
      <c r="P35" s="125"/>
    </row>
    <row r="36" spans="1:16" x14ac:dyDescent="0.2">
      <c r="A36" s="125" t="s">
        <v>246</v>
      </c>
      <c r="B36" s="125" t="str">
        <f t="shared" si="2"/>
        <v>8</v>
      </c>
      <c r="C36" s="125" t="e">
        <f>+MID(VLOOKUP(A36,#REF!,2,0),4,LEN(VLOOKUP(A36,#REF!,2,0))-4)</f>
        <v>#REF!</v>
      </c>
      <c r="D36" s="125" t="s">
        <v>186</v>
      </c>
      <c r="E36" s="125" t="e">
        <f>+VLOOKUP(A36,#REF!,3,0)</f>
        <v>#REF!</v>
      </c>
      <c r="F36" s="125" t="e">
        <f>+VLOOKUP(A36,#REF!,10,0)</f>
        <v>#REF!</v>
      </c>
      <c r="G36" s="125" t="e">
        <f>+VLOOKUP(A36,#REF!,13,0)</f>
        <v>#REF!</v>
      </c>
      <c r="H36" s="127" t="e">
        <f t="shared" si="3"/>
        <v>#REF!</v>
      </c>
      <c r="I36" s="125" t="e">
        <f t="shared" si="8"/>
        <v>#REF!</v>
      </c>
      <c r="J36" s="125" t="s">
        <v>244</v>
      </c>
      <c r="K36" s="125" t="e">
        <f>+IF(ISBLANK(VLOOKUP(A36,#REF!,5,0)),"",VLOOKUP(A36,#REF!,5,0))</f>
        <v>#REF!</v>
      </c>
      <c r="L36" s="125" t="e">
        <f>+IF(ISBLANK(VLOOKUP(A36,#REF!,9,9)),"",VLOOKUP(A36,#REF!,9,9))</f>
        <v>#REF!</v>
      </c>
      <c r="M36" s="125" t="e">
        <f t="shared" si="5"/>
        <v>#REF!</v>
      </c>
      <c r="N36" s="125" t="e">
        <f t="shared" si="4"/>
        <v>#REF!</v>
      </c>
      <c r="O36" s="125"/>
      <c r="P36" s="125"/>
    </row>
    <row r="37" spans="1:16" x14ac:dyDescent="0.2">
      <c r="A37" s="125" t="s">
        <v>247</v>
      </c>
      <c r="B37" s="125" t="str">
        <f t="shared" si="2"/>
        <v>8</v>
      </c>
      <c r="C37" s="125" t="e">
        <f>+MID(VLOOKUP(A37,#REF!,2,0),4,LEN(VLOOKUP(A37,#REF!,2,0))-4)</f>
        <v>#REF!</v>
      </c>
      <c r="D37" s="125" t="s">
        <v>186</v>
      </c>
      <c r="E37" s="125" t="e">
        <f>+VLOOKUP(A37,#REF!,3,0)</f>
        <v>#REF!</v>
      </c>
      <c r="F37" s="125" t="e">
        <f>+VLOOKUP(A37,#REF!,10,0)</f>
        <v>#REF!</v>
      </c>
      <c r="G37" s="125" t="e">
        <f>+VLOOKUP(A37,#REF!,13,0)</f>
        <v>#REF!</v>
      </c>
      <c r="H37" s="127" t="e">
        <f t="shared" si="3"/>
        <v>#REF!</v>
      </c>
      <c r="I37" s="125" t="e">
        <f t="shared" si="8"/>
        <v>#REF!</v>
      </c>
      <c r="J37" s="125" t="s">
        <v>244</v>
      </c>
      <c r="K37" s="125" t="e">
        <f>+IF(ISBLANK(VLOOKUP(A37,#REF!,5,0)),"",VLOOKUP(A37,#REF!,5,0))</f>
        <v>#REF!</v>
      </c>
      <c r="L37" s="125" t="e">
        <f>+IF(ISBLANK(VLOOKUP(A37,#REF!,9,9)),"",VLOOKUP(A37,#REF!,9,9))</f>
        <v>#REF!</v>
      </c>
      <c r="M37" s="125" t="e">
        <f t="shared" si="5"/>
        <v>#REF!</v>
      </c>
      <c r="N37" s="125" t="e">
        <f t="shared" si="4"/>
        <v>#REF!</v>
      </c>
      <c r="O37" s="125"/>
      <c r="P37" s="125"/>
    </row>
    <row r="38" spans="1:16" x14ac:dyDescent="0.2">
      <c r="A38" s="125" t="s">
        <v>248</v>
      </c>
      <c r="B38" s="125" t="str">
        <f t="shared" si="2"/>
        <v>9</v>
      </c>
      <c r="C38" s="125" t="e">
        <f>+MID(VLOOKUP(A38,#REF!,2,0),4,LEN(VLOOKUP(A38,#REF!,2,0))-4)</f>
        <v>#REF!</v>
      </c>
      <c r="D38" s="125" t="s">
        <v>186</v>
      </c>
      <c r="E38" s="125" t="e">
        <f>+VLOOKUP(A38,#REF!,3,0)</f>
        <v>#REF!</v>
      </c>
      <c r="F38" s="125" t="e">
        <f>+VLOOKUP(A38,#REF!,10,0)</f>
        <v>#REF!</v>
      </c>
      <c r="G38" s="125" t="e">
        <f>+VLOOKUP(A38,#REF!,13,0)</f>
        <v>#REF!</v>
      </c>
      <c r="H38" s="127" t="e">
        <f t="shared" si="3"/>
        <v>#REF!</v>
      </c>
      <c r="I38" s="125" t="e">
        <f t="shared" si="8"/>
        <v>#REF!</v>
      </c>
      <c r="J38" s="125" t="s">
        <v>249</v>
      </c>
      <c r="K38" s="125" t="e">
        <f>+IF(ISBLANK(VLOOKUP(A38,#REF!,5,0)),"",VLOOKUP(A38,#REF!,5,0))</f>
        <v>#REF!</v>
      </c>
      <c r="L38" s="125" t="e">
        <f>+IF(ISBLANK(VLOOKUP(A38,#REF!,9,9)),"",VLOOKUP(A38,#REF!,9,9))</f>
        <v>#REF!</v>
      </c>
      <c r="M38" s="125" t="e">
        <f t="shared" si="5"/>
        <v>#REF!</v>
      </c>
      <c r="N38" s="125" t="e">
        <f t="shared" si="4"/>
        <v>#REF!</v>
      </c>
      <c r="O38" s="125"/>
      <c r="P38" s="125"/>
    </row>
    <row r="39" spans="1:16" x14ac:dyDescent="0.2">
      <c r="A39" s="125" t="s">
        <v>250</v>
      </c>
      <c r="B39" s="125" t="str">
        <f t="shared" si="2"/>
        <v>9</v>
      </c>
      <c r="C39" s="125" t="e">
        <f>+MID(VLOOKUP(A39,#REF!,2,0),4,LEN(VLOOKUP(A39,#REF!,2,0))-4)</f>
        <v>#REF!</v>
      </c>
      <c r="D39" s="125" t="s">
        <v>186</v>
      </c>
      <c r="E39" s="125" t="e">
        <f>+VLOOKUP(A39,#REF!,3,0)</f>
        <v>#REF!</v>
      </c>
      <c r="F39" s="125" t="e">
        <f>+VLOOKUP(A39,#REF!,10,0)</f>
        <v>#REF!</v>
      </c>
      <c r="G39" s="125" t="e">
        <f>+VLOOKUP(A39,#REF!,13,0)</f>
        <v>#REF!</v>
      </c>
      <c r="H39" s="127" t="e">
        <f t="shared" si="3"/>
        <v>#REF!</v>
      </c>
      <c r="I39" s="125" t="e">
        <f t="shared" si="8"/>
        <v>#REF!</v>
      </c>
      <c r="J39" s="125" t="s">
        <v>249</v>
      </c>
      <c r="K39" s="125" t="e">
        <f>+IF(ISBLANK(VLOOKUP(A39,#REF!,5,0)),"",VLOOKUP(A39,#REF!,5,0))</f>
        <v>#REF!</v>
      </c>
      <c r="L39" s="125" t="e">
        <f>+IF(ISBLANK(VLOOKUP(A39,#REF!,9,9)),"",VLOOKUP(A39,#REF!,9,9))</f>
        <v>#REF!</v>
      </c>
      <c r="M39" s="125" t="e">
        <f t="shared" si="5"/>
        <v>#REF!</v>
      </c>
      <c r="N39" s="125" t="e">
        <f t="shared" si="4"/>
        <v>#REF!</v>
      </c>
      <c r="O39" s="125"/>
      <c r="P39" s="125"/>
    </row>
    <row r="40" spans="1:16" x14ac:dyDescent="0.2">
      <c r="A40" s="125" t="s">
        <v>251</v>
      </c>
      <c r="B40" s="125" t="str">
        <f t="shared" si="2"/>
        <v>9</v>
      </c>
      <c r="C40" s="125" t="e">
        <f>+MID(VLOOKUP(A40,#REF!,2,0),4,LEN(VLOOKUP(A40,#REF!,2,0))-4)</f>
        <v>#REF!</v>
      </c>
      <c r="D40" s="125" t="s">
        <v>186</v>
      </c>
      <c r="E40" s="125" t="e">
        <f>+VLOOKUP(A40,#REF!,3,0)</f>
        <v>#REF!</v>
      </c>
      <c r="F40" s="125" t="e">
        <f>+VLOOKUP(A40,#REF!,10,0)</f>
        <v>#REF!</v>
      </c>
      <c r="G40" s="125" t="e">
        <f>+VLOOKUP(A40,#REF!,13,0)</f>
        <v>#REF!</v>
      </c>
      <c r="H40" s="127" t="e">
        <f t="shared" si="3"/>
        <v>#REF!</v>
      </c>
      <c r="I40" s="125" t="e">
        <f t="shared" si="8"/>
        <v>#REF!</v>
      </c>
      <c r="J40" s="125" t="s">
        <v>249</v>
      </c>
      <c r="K40" s="125" t="e">
        <f>+IF(ISBLANK(VLOOKUP(A40,#REF!,5,0)),"",VLOOKUP(A40,#REF!,5,0))</f>
        <v>#REF!</v>
      </c>
      <c r="L40" s="125" t="e">
        <f>+IF(ISBLANK(VLOOKUP(A40,#REF!,9,9)),"",VLOOKUP(A40,#REF!,9,9))</f>
        <v>#REF!</v>
      </c>
      <c r="M40" s="125" t="e">
        <f t="shared" si="5"/>
        <v>#REF!</v>
      </c>
      <c r="N40" s="125" t="e">
        <f t="shared" si="4"/>
        <v>#REF!</v>
      </c>
      <c r="O40" s="125"/>
      <c r="P40" s="125"/>
    </row>
    <row r="41" spans="1:16" x14ac:dyDescent="0.2">
      <c r="A41" s="125" t="s">
        <v>252</v>
      </c>
      <c r="B41" s="125" t="str">
        <f t="shared" si="2"/>
        <v>9</v>
      </c>
      <c r="C41" s="125" t="e">
        <f>+MID(VLOOKUP(A41,#REF!,2,0),4,LEN(VLOOKUP(A41,#REF!,2,0))-4)</f>
        <v>#REF!</v>
      </c>
      <c r="D41" s="125" t="s">
        <v>186</v>
      </c>
      <c r="E41" s="125" t="e">
        <f>+VLOOKUP(A41,#REF!,3,0)</f>
        <v>#REF!</v>
      </c>
      <c r="F41" s="125" t="e">
        <f>+VLOOKUP(A41,#REF!,10,0)</f>
        <v>#REF!</v>
      </c>
      <c r="G41" s="125" t="e">
        <f>+VLOOKUP(A41,#REF!,13,0)</f>
        <v>#REF!</v>
      </c>
      <c r="H41" s="127" t="e">
        <f t="shared" si="3"/>
        <v>#REF!</v>
      </c>
      <c r="I41" s="125" t="e">
        <f t="shared" si="8"/>
        <v>#REF!</v>
      </c>
      <c r="J41" s="125" t="s">
        <v>249</v>
      </c>
      <c r="K41" s="125" t="e">
        <f>+IF(ISBLANK(VLOOKUP(A41,#REF!,5,0)),"",VLOOKUP(A41,#REF!,5,0))</f>
        <v>#REF!</v>
      </c>
      <c r="L41" s="125" t="e">
        <f>+IF(ISBLANK(VLOOKUP(A41,#REF!,9,9)),"",VLOOKUP(A41,#REF!,9,9))</f>
        <v>#REF!</v>
      </c>
      <c r="M41" s="125" t="e">
        <f t="shared" si="5"/>
        <v>#REF!</v>
      </c>
      <c r="N41" s="125" t="e">
        <f t="shared" si="4"/>
        <v>#REF!</v>
      </c>
      <c r="O41" s="125"/>
      <c r="P41" s="125"/>
    </row>
    <row r="42" spans="1:16" x14ac:dyDescent="0.2">
      <c r="A42" s="125" t="s">
        <v>253</v>
      </c>
      <c r="B42" s="125" t="str">
        <f t="shared" si="2"/>
        <v>9</v>
      </c>
      <c r="C42" s="125" t="e">
        <f>+MID(VLOOKUP(A42,#REF!,2,0),4,LEN(VLOOKUP(A42,#REF!,2,0))-4)</f>
        <v>#REF!</v>
      </c>
      <c r="D42" s="125" t="s">
        <v>186</v>
      </c>
      <c r="E42" s="125" t="e">
        <f>+VLOOKUP(A42,#REF!,3,0)</f>
        <v>#REF!</v>
      </c>
      <c r="F42" s="125" t="e">
        <f>+VLOOKUP(A42,#REF!,10,0)</f>
        <v>#REF!</v>
      </c>
      <c r="G42" s="125" t="e">
        <f>+VLOOKUP(A42,#REF!,13,0)</f>
        <v>#REF!</v>
      </c>
      <c r="H42" s="127" t="e">
        <f t="shared" si="3"/>
        <v>#REF!</v>
      </c>
      <c r="I42" s="125" t="e">
        <f t="shared" si="8"/>
        <v>#REF!</v>
      </c>
      <c r="J42" s="125" t="s">
        <v>249</v>
      </c>
      <c r="K42" s="125" t="e">
        <f>+IF(ISBLANK(VLOOKUP(A42,#REF!,5,0)),"",VLOOKUP(A42,#REF!,5,0))</f>
        <v>#REF!</v>
      </c>
      <c r="L42" s="125" t="e">
        <f>+IF(ISBLANK(VLOOKUP(A42,#REF!,9,9)),"",VLOOKUP(A42,#REF!,9,9))</f>
        <v>#REF!</v>
      </c>
      <c r="M42" s="125" t="e">
        <f t="shared" si="5"/>
        <v>#REF!</v>
      </c>
      <c r="N42" s="125" t="e">
        <f t="shared" si="4"/>
        <v>#REF!</v>
      </c>
      <c r="O42" s="125"/>
      <c r="P42" s="125"/>
    </row>
    <row r="43" spans="1:16" x14ac:dyDescent="0.2">
      <c r="A43" s="125" t="s">
        <v>254</v>
      </c>
      <c r="B43" s="125" t="str">
        <f>+LEFT(A43,2)</f>
        <v>10</v>
      </c>
      <c r="C43" s="125" t="e">
        <f>+MID(VLOOKUP(A43,#REF!,2,0),5,LEN(VLOOKUP(A43,#REF!,2,0))-5)</f>
        <v>#REF!</v>
      </c>
      <c r="D43" s="125" t="s">
        <v>187</v>
      </c>
      <c r="E43" s="125" t="e">
        <f>+VLOOKUP(A43,#REF!,3,0)</f>
        <v>#REF!</v>
      </c>
      <c r="F43" s="125" t="e">
        <f>+VLOOKUP(A43,#REF!,10,0)</f>
        <v>#REF!</v>
      </c>
      <c r="G43" s="125" t="e">
        <f>+VLOOKUP(A43,#REF!,13,0)</f>
        <v>#REF!</v>
      </c>
      <c r="H43" s="127" t="e">
        <f t="shared" si="3"/>
        <v>#REF!</v>
      </c>
      <c r="I43" s="125" t="e">
        <f t="shared" si="8"/>
        <v>#REF!</v>
      </c>
      <c r="J43" s="125" t="s">
        <v>255</v>
      </c>
      <c r="K43" s="125" t="e">
        <f>+IF(ISBLANK(VLOOKUP(A43,#REF!,5,0)),"",VLOOKUP(A43,#REF!,5,0))</f>
        <v>#REF!</v>
      </c>
      <c r="L43" s="125" t="e">
        <f>+IF(ISBLANK(VLOOKUP(A43,#REF!,9,0)),"",VLOOKUP(A43,#REF!,9,0))</f>
        <v>#REF!</v>
      </c>
      <c r="M43" s="125" t="e">
        <f t="shared" si="5"/>
        <v>#REF!</v>
      </c>
      <c r="N43" s="125" t="e">
        <f t="shared" si="4"/>
        <v>#REF!</v>
      </c>
      <c r="O43" s="125"/>
      <c r="P43" s="125"/>
    </row>
    <row r="44" spans="1:16" x14ac:dyDescent="0.2">
      <c r="A44" s="125" t="s">
        <v>256</v>
      </c>
      <c r="B44" s="125" t="str">
        <f t="shared" ref="B44:B82" si="9">+LEFT(A44,2)</f>
        <v>10</v>
      </c>
      <c r="C44" s="125" t="e">
        <f>+MID(VLOOKUP(A44,#REF!,2,0),5,LEN(VLOOKUP(A44,#REF!,2,0))-5)</f>
        <v>#REF!</v>
      </c>
      <c r="D44" s="125" t="s">
        <v>187</v>
      </c>
      <c r="E44" s="125" t="e">
        <f>+VLOOKUP(A44,#REF!,3,0)</f>
        <v>#REF!</v>
      </c>
      <c r="F44" s="125" t="e">
        <f>+VLOOKUP(A44,#REF!,10,0)</f>
        <v>#REF!</v>
      </c>
      <c r="G44" s="125" t="e">
        <f>+VLOOKUP(A44,#REF!,13,0)</f>
        <v>#REF!</v>
      </c>
      <c r="H44" s="127" t="e">
        <f t="shared" si="3"/>
        <v>#REF!</v>
      </c>
      <c r="I44" s="125" t="e">
        <f t="shared" si="8"/>
        <v>#REF!</v>
      </c>
      <c r="J44" s="125" t="s">
        <v>255</v>
      </c>
      <c r="K44" s="125" t="e">
        <f>+IF(ISBLANK(VLOOKUP(A44,#REF!,5,0)),"",VLOOKUP(A44,#REF!,5,0))</f>
        <v>#REF!</v>
      </c>
      <c r="L44" s="125" t="e">
        <f>+IF(ISBLANK(VLOOKUP(A44,#REF!,9,0)),"",VLOOKUP(A44,#REF!,9,0))</f>
        <v>#REF!</v>
      </c>
      <c r="M44" s="125" t="e">
        <f t="shared" si="5"/>
        <v>#REF!</v>
      </c>
      <c r="N44" s="125" t="e">
        <f t="shared" si="4"/>
        <v>#REF!</v>
      </c>
      <c r="O44" s="125"/>
      <c r="P44" s="125"/>
    </row>
    <row r="45" spans="1:16" x14ac:dyDescent="0.2">
      <c r="A45" s="125" t="s">
        <v>257</v>
      </c>
      <c r="B45" s="125" t="str">
        <f t="shared" si="9"/>
        <v>10</v>
      </c>
      <c r="C45" s="125" t="e">
        <f>+MID(VLOOKUP(A45,#REF!,2,0),5,LEN(VLOOKUP(A45,#REF!,2,0))-5)</f>
        <v>#REF!</v>
      </c>
      <c r="D45" s="125" t="s">
        <v>187</v>
      </c>
      <c r="E45" s="125" t="e">
        <f>+VLOOKUP(A45,#REF!,3,0)</f>
        <v>#REF!</v>
      </c>
      <c r="F45" s="125" t="e">
        <f>+VLOOKUP(A45,#REF!,10,0)</f>
        <v>#REF!</v>
      </c>
      <c r="G45" s="125" t="e">
        <f>+VLOOKUP(A45,#REF!,13,0)</f>
        <v>#REF!</v>
      </c>
      <c r="H45" s="127" t="e">
        <f t="shared" si="3"/>
        <v>#REF!</v>
      </c>
      <c r="I45" s="125" t="e">
        <f t="shared" si="8"/>
        <v>#REF!</v>
      </c>
      <c r="J45" s="125" t="s">
        <v>255</v>
      </c>
      <c r="K45" s="125" t="e">
        <f>+IF(ISBLANK(VLOOKUP(A45,#REF!,5,0)),"",VLOOKUP(A45,#REF!,5,0))</f>
        <v>#REF!</v>
      </c>
      <c r="L45" s="125" t="e">
        <f>+IF(ISBLANK(VLOOKUP(A45,#REF!,9,0)),"",VLOOKUP(A45,#REF!,9,0))</f>
        <v>#REF!</v>
      </c>
      <c r="M45" s="125" t="e">
        <f t="shared" si="5"/>
        <v>#REF!</v>
      </c>
      <c r="N45" s="125" t="e">
        <f t="shared" si="4"/>
        <v>#REF!</v>
      </c>
      <c r="O45" s="125"/>
      <c r="P45" s="125"/>
    </row>
    <row r="46" spans="1:16" x14ac:dyDescent="0.2">
      <c r="A46" s="125" t="s">
        <v>258</v>
      </c>
      <c r="B46" s="125" t="str">
        <f t="shared" si="9"/>
        <v>11</v>
      </c>
      <c r="C46" s="125" t="e">
        <f>+MID(VLOOKUP(A46,#REF!,2,0),5,LEN(VLOOKUP(A46,#REF!,2,0))-5)</f>
        <v>#REF!</v>
      </c>
      <c r="D46" s="125" t="s">
        <v>187</v>
      </c>
      <c r="E46" s="125" t="e">
        <f>+VLOOKUP(A46,#REF!,3,0)</f>
        <v>#REF!</v>
      </c>
      <c r="F46" s="125" t="e">
        <f>+VLOOKUP(A46,#REF!,10,0)</f>
        <v>#REF!</v>
      </c>
      <c r="G46" s="125" t="e">
        <f>+VLOOKUP(A46,#REF!,13,0)</f>
        <v>#REF!</v>
      </c>
      <c r="H46" s="127" t="e">
        <f t="shared" si="3"/>
        <v>#REF!</v>
      </c>
      <c r="I46" s="125" t="e">
        <f t="shared" si="8"/>
        <v>#REF!</v>
      </c>
      <c r="J46" s="125" t="s">
        <v>259</v>
      </c>
      <c r="K46" s="125" t="e">
        <f>+IF(ISBLANK(VLOOKUP(A46,#REF!,5,0)),"",VLOOKUP(A46,#REF!,5,0))</f>
        <v>#REF!</v>
      </c>
      <c r="L46" s="125" t="e">
        <f>+IF(ISBLANK(VLOOKUP(A46,#REF!,9,0)),"",VLOOKUP(A46,#REF!,9,0))</f>
        <v>#REF!</v>
      </c>
      <c r="M46" s="125" t="e">
        <f t="shared" si="5"/>
        <v>#REF!</v>
      </c>
      <c r="N46" s="125" t="e">
        <f t="shared" si="4"/>
        <v>#REF!</v>
      </c>
      <c r="O46" s="125"/>
      <c r="P46" s="125"/>
    </row>
    <row r="47" spans="1:16" x14ac:dyDescent="0.2">
      <c r="A47" s="125" t="s">
        <v>260</v>
      </c>
      <c r="B47" s="125" t="str">
        <f t="shared" si="9"/>
        <v>11</v>
      </c>
      <c r="C47" s="125" t="e">
        <f>+MID(VLOOKUP(A47,#REF!,2,0),5,LEN(VLOOKUP(A47,#REF!,2,0))-5)</f>
        <v>#REF!</v>
      </c>
      <c r="D47" s="125" t="s">
        <v>187</v>
      </c>
      <c r="E47" s="125" t="e">
        <f>+VLOOKUP(A47,#REF!,3,0)</f>
        <v>#REF!</v>
      </c>
      <c r="F47" s="125" t="e">
        <f>+VLOOKUP(A47,#REF!,10,0)</f>
        <v>#REF!</v>
      </c>
      <c r="G47" s="125" t="e">
        <f>+VLOOKUP(A47,#REF!,13,0)</f>
        <v>#REF!</v>
      </c>
      <c r="H47" s="127" t="e">
        <f t="shared" si="3"/>
        <v>#REF!</v>
      </c>
      <c r="I47" s="125" t="e">
        <f t="shared" si="8"/>
        <v>#REF!</v>
      </c>
      <c r="J47" s="125" t="s">
        <v>259</v>
      </c>
      <c r="K47" s="125" t="e">
        <f>+IF(ISBLANK(VLOOKUP(A47,#REF!,5,0)),"",VLOOKUP(A47,#REF!,5,0))</f>
        <v>#REF!</v>
      </c>
      <c r="L47" s="125" t="e">
        <f>+IF(ISBLANK(VLOOKUP(A47,#REF!,9,0)),"",VLOOKUP(A47,#REF!,9,0))</f>
        <v>#REF!</v>
      </c>
      <c r="M47" s="125" t="e">
        <f t="shared" si="5"/>
        <v>#REF!</v>
      </c>
      <c r="N47" s="125" t="e">
        <f t="shared" si="4"/>
        <v>#REF!</v>
      </c>
      <c r="O47" s="125"/>
      <c r="P47" s="125"/>
    </row>
    <row r="48" spans="1:16" x14ac:dyDescent="0.2">
      <c r="A48" s="125" t="s">
        <v>261</v>
      </c>
      <c r="B48" s="125" t="str">
        <f t="shared" si="9"/>
        <v>11</v>
      </c>
      <c r="C48" s="125" t="e">
        <f>+MID(VLOOKUP(A48,#REF!,2,0),5,LEN(VLOOKUP(A48,#REF!,2,0))-5)</f>
        <v>#REF!</v>
      </c>
      <c r="D48" s="125" t="s">
        <v>187</v>
      </c>
      <c r="E48" s="125" t="e">
        <f>+VLOOKUP(A48,#REF!,3,0)</f>
        <v>#REF!</v>
      </c>
      <c r="F48" s="125" t="e">
        <f>+VLOOKUP(A48,#REF!,10,0)</f>
        <v>#REF!</v>
      </c>
      <c r="G48" s="125" t="e">
        <f>+VLOOKUP(A48,#REF!,13,0)</f>
        <v>#REF!</v>
      </c>
      <c r="H48" s="127" t="e">
        <f t="shared" si="3"/>
        <v>#REF!</v>
      </c>
      <c r="I48" s="125" t="e">
        <f t="shared" si="8"/>
        <v>#REF!</v>
      </c>
      <c r="J48" s="125" t="s">
        <v>259</v>
      </c>
      <c r="K48" s="125" t="e">
        <f>+IF(ISBLANK(VLOOKUP(A48,#REF!,5,0)),"",VLOOKUP(A48,#REF!,5,0))</f>
        <v>#REF!</v>
      </c>
      <c r="L48" s="125" t="e">
        <f>+IF(ISBLANK(VLOOKUP(A48,#REF!,9,0)),"",VLOOKUP(A48,#REF!,9,0))</f>
        <v>#REF!</v>
      </c>
      <c r="M48" s="125" t="e">
        <f t="shared" si="5"/>
        <v>#REF!</v>
      </c>
      <c r="N48" s="125" t="e">
        <f t="shared" si="4"/>
        <v>#REF!</v>
      </c>
      <c r="O48" s="125"/>
      <c r="P48" s="125"/>
    </row>
    <row r="49" spans="1:16" x14ac:dyDescent="0.2">
      <c r="A49" s="125" t="s">
        <v>262</v>
      </c>
      <c r="B49" s="125" t="str">
        <f t="shared" si="9"/>
        <v>11</v>
      </c>
      <c r="C49" s="125" t="e">
        <f>+MID(VLOOKUP(A49,#REF!,2,0),5,LEN(VLOOKUP(A49,#REF!,2,0))-5)</f>
        <v>#REF!</v>
      </c>
      <c r="D49" s="125" t="s">
        <v>187</v>
      </c>
      <c r="E49" s="125" t="e">
        <f>+VLOOKUP(A49,#REF!,3,0)</f>
        <v>#REF!</v>
      </c>
      <c r="F49" s="125" t="e">
        <f>+VLOOKUP(A49,#REF!,10,0)</f>
        <v>#REF!</v>
      </c>
      <c r="G49" s="125" t="e">
        <f>+VLOOKUP(A49,#REF!,13,0)</f>
        <v>#REF!</v>
      </c>
      <c r="H49" s="127" t="e">
        <f t="shared" si="3"/>
        <v>#REF!</v>
      </c>
      <c r="I49" s="125" t="e">
        <f t="shared" si="8"/>
        <v>#REF!</v>
      </c>
      <c r="J49" s="125" t="s">
        <v>259</v>
      </c>
      <c r="K49" s="125" t="e">
        <f>+IF(ISBLANK(VLOOKUP(A49,#REF!,5,0)),"",VLOOKUP(A49,#REF!,5,0))</f>
        <v>#REF!</v>
      </c>
      <c r="L49" s="125" t="e">
        <f>+IF(ISBLANK(VLOOKUP(A49,#REF!,9,0)),"",VLOOKUP(A49,#REF!,9,0))</f>
        <v>#REF!</v>
      </c>
      <c r="M49" s="125" t="e">
        <f t="shared" si="5"/>
        <v>#REF!</v>
      </c>
      <c r="N49" s="125" t="e">
        <f t="shared" si="4"/>
        <v>#REF!</v>
      </c>
      <c r="O49" s="125"/>
      <c r="P49" s="125"/>
    </row>
    <row r="50" spans="1:16" x14ac:dyDescent="0.2">
      <c r="A50" s="125" t="s">
        <v>263</v>
      </c>
      <c r="B50" s="125" t="str">
        <f t="shared" si="9"/>
        <v>12</v>
      </c>
      <c r="C50" s="125" t="e">
        <f>+MID(VLOOKUP(A50,#REF!,2,0),5,LEN(VLOOKUP(A50,#REF!,2,0))-5)</f>
        <v>#REF!</v>
      </c>
      <c r="D50" s="125" t="s">
        <v>187</v>
      </c>
      <c r="E50" s="125" t="e">
        <f>+VLOOKUP(A50,#REF!,3,0)</f>
        <v>#REF!</v>
      </c>
      <c r="F50" s="125" t="e">
        <f>+VLOOKUP(A50,#REF!,10,0)</f>
        <v>#REF!</v>
      </c>
      <c r="G50" s="125" t="e">
        <f>+VLOOKUP(A50,#REF!,13,0)</f>
        <v>#REF!</v>
      </c>
      <c r="H50" s="127" t="e">
        <f t="shared" si="3"/>
        <v>#REF!</v>
      </c>
      <c r="I50" s="125" t="e">
        <f t="shared" si="8"/>
        <v>#REF!</v>
      </c>
      <c r="J50" s="125" t="s">
        <v>264</v>
      </c>
      <c r="K50" s="125" t="e">
        <f>+IF(ISBLANK(VLOOKUP(A50,#REF!,5,0)),"",VLOOKUP(A50,#REF!,5,0))</f>
        <v>#REF!</v>
      </c>
      <c r="L50" s="125" t="e">
        <f>+IF(ISBLANK(VLOOKUP(A50,#REF!,9,0)),"",VLOOKUP(A50,#REF!,9,0))</f>
        <v>#REF!</v>
      </c>
      <c r="M50" s="125" t="e">
        <f t="shared" si="5"/>
        <v>#REF!</v>
      </c>
      <c r="N50" s="125" t="e">
        <f t="shared" si="4"/>
        <v>#REF!</v>
      </c>
      <c r="O50" s="125"/>
      <c r="P50" s="125"/>
    </row>
    <row r="51" spans="1:16" x14ac:dyDescent="0.2">
      <c r="A51" s="125" t="s">
        <v>265</v>
      </c>
      <c r="B51" s="125" t="str">
        <f t="shared" si="9"/>
        <v>12</v>
      </c>
      <c r="C51" s="125" t="e">
        <f>+MID(VLOOKUP(A51,#REF!,2,0),6,LEN(VLOOKUP(A51,#REF!,2,0))-6)</f>
        <v>#REF!</v>
      </c>
      <c r="D51" s="125" t="s">
        <v>187</v>
      </c>
      <c r="E51" s="125" t="e">
        <f>+VLOOKUP(A51,#REF!,3,0)</f>
        <v>#REF!</v>
      </c>
      <c r="F51" s="125" t="e">
        <f>+VLOOKUP(A51,#REF!,10,0)</f>
        <v>#REF!</v>
      </c>
      <c r="G51" s="125" t="e">
        <f>+VLOOKUP(A51,#REF!,13,0)</f>
        <v>#REF!</v>
      </c>
      <c r="H51" s="127" t="e">
        <f t="shared" si="3"/>
        <v>#REF!</v>
      </c>
      <c r="I51" s="125" t="e">
        <f t="shared" si="8"/>
        <v>#REF!</v>
      </c>
      <c r="J51" s="125" t="s">
        <v>264</v>
      </c>
      <c r="K51" s="125" t="e">
        <f>+IF(ISBLANK(VLOOKUP(A51,#REF!,5,0)),"",VLOOKUP(A51,#REF!,5,0))</f>
        <v>#REF!</v>
      </c>
      <c r="L51" s="125" t="e">
        <f>+IF(ISBLANK(VLOOKUP(A51,#REF!,9,0)),"",VLOOKUP(A51,#REF!,9,0))</f>
        <v>#REF!</v>
      </c>
      <c r="M51" s="125" t="e">
        <f t="shared" si="5"/>
        <v>#REF!</v>
      </c>
      <c r="N51" s="125" t="e">
        <f t="shared" si="4"/>
        <v>#REF!</v>
      </c>
      <c r="O51" s="125"/>
      <c r="P51" s="125"/>
    </row>
    <row r="52" spans="1:16" x14ac:dyDescent="0.2">
      <c r="A52" s="125" t="s">
        <v>266</v>
      </c>
      <c r="B52" s="125" t="str">
        <f t="shared" si="9"/>
        <v>12</v>
      </c>
      <c r="C52" s="125" t="e">
        <f>+MID(VLOOKUP(A52,#REF!,2,0),6,LEN(VLOOKUP(A52,#REF!,2,0))-6)</f>
        <v>#REF!</v>
      </c>
      <c r="D52" s="125" t="s">
        <v>187</v>
      </c>
      <c r="E52" s="125" t="e">
        <f>+VLOOKUP(A52,#REF!,3,0)</f>
        <v>#REF!</v>
      </c>
      <c r="F52" s="125" t="e">
        <f>+VLOOKUP(A52,#REF!,10,0)</f>
        <v>#REF!</v>
      </c>
      <c r="G52" s="125" t="e">
        <f>+VLOOKUP(A52,#REF!,13,0)</f>
        <v>#REF!</v>
      </c>
      <c r="H52" s="127" t="e">
        <f t="shared" si="3"/>
        <v>#REF!</v>
      </c>
      <c r="I52" s="125" t="e">
        <f t="shared" si="8"/>
        <v>#REF!</v>
      </c>
      <c r="J52" s="125" t="s">
        <v>264</v>
      </c>
      <c r="K52" s="125" t="e">
        <f>+IF(ISBLANK(VLOOKUP(A52,#REF!,5,0)),"",VLOOKUP(A52,#REF!,5,0))</f>
        <v>#REF!</v>
      </c>
      <c r="L52" s="125" t="e">
        <f>+IF(ISBLANK(VLOOKUP(A52,#REF!,9,0)),"",VLOOKUP(A52,#REF!,9,0))</f>
        <v>#REF!</v>
      </c>
      <c r="M52" s="125" t="e">
        <f t="shared" si="5"/>
        <v>#REF!</v>
      </c>
      <c r="N52" s="125" t="e">
        <f t="shared" si="4"/>
        <v>#REF!</v>
      </c>
      <c r="O52" s="125"/>
      <c r="P52" s="125"/>
    </row>
    <row r="53" spans="1:16" x14ac:dyDescent="0.2">
      <c r="A53" s="125" t="s">
        <v>267</v>
      </c>
      <c r="B53" s="125" t="str">
        <f t="shared" si="9"/>
        <v>12</v>
      </c>
      <c r="C53" s="125" t="e">
        <f>+MID(VLOOKUP(A53,#REF!,2,0),6,LEN(VLOOKUP(A53,#REF!,2,0))-6)</f>
        <v>#REF!</v>
      </c>
      <c r="D53" s="125" t="s">
        <v>187</v>
      </c>
      <c r="E53" s="125" t="e">
        <f>+VLOOKUP(A53,#REF!,3,0)</f>
        <v>#REF!</v>
      </c>
      <c r="F53" s="125" t="e">
        <f>+VLOOKUP(A53,#REF!,10,0)</f>
        <v>#REF!</v>
      </c>
      <c r="G53" s="125" t="e">
        <f>+VLOOKUP(A53,#REF!,13,0)</f>
        <v>#REF!</v>
      </c>
      <c r="H53" s="127" t="e">
        <f t="shared" ref="H53" si="10">+_xlfn.RANK.EQ(G53,$G$2:$G$82,1)</f>
        <v>#REF!</v>
      </c>
      <c r="I53" s="125" t="e">
        <f t="shared" si="8"/>
        <v>#REF!</v>
      </c>
      <c r="J53" s="125" t="s">
        <v>264</v>
      </c>
      <c r="K53" s="125" t="e">
        <f>+IF(ISBLANK(VLOOKUP(A53,#REF!,5,0)),"",VLOOKUP(A53,#REF!,5,0))</f>
        <v>#REF!</v>
      </c>
      <c r="L53" s="125" t="e">
        <f>+IF(ISBLANK(VLOOKUP(A53,#REF!,9,0)),"",VLOOKUP(A53,#REF!,9,0))</f>
        <v>#REF!</v>
      </c>
      <c r="M53" s="125" t="e">
        <f t="shared" si="5"/>
        <v>#REF!</v>
      </c>
      <c r="N53" s="125" t="e">
        <f t="shared" ref="N53" si="11">+AVERAGEIF($D$2:$D$82,D53,$M$2:$M$82)</f>
        <v>#REF!</v>
      </c>
      <c r="O53" s="125"/>
      <c r="P53" s="125"/>
    </row>
    <row r="54" spans="1:16" x14ac:dyDescent="0.2">
      <c r="A54" s="125" t="s">
        <v>268</v>
      </c>
      <c r="B54" s="125" t="str">
        <f t="shared" si="9"/>
        <v>12</v>
      </c>
      <c r="C54" s="125" t="e">
        <f>+MID(VLOOKUP(A54,#REF!,2,0),6,LEN(VLOOKUP(A54,#REF!,2,0))-6)</f>
        <v>#REF!</v>
      </c>
      <c r="D54" s="125" t="s">
        <v>187</v>
      </c>
      <c r="E54" s="125" t="e">
        <f>+VLOOKUP(A54,#REF!,3,0)</f>
        <v>#REF!</v>
      </c>
      <c r="F54" s="125" t="e">
        <f>+VLOOKUP(A54,#REF!,10,0)</f>
        <v>#REF!</v>
      </c>
      <c r="G54" s="125" t="e">
        <f>+VLOOKUP(A54,#REF!,13,0)</f>
        <v>#REF!</v>
      </c>
      <c r="H54" s="127" t="e">
        <f t="shared" ref="H54" si="12">+_xlfn.RANK.EQ(G54,$G$2:$G$82,1)</f>
        <v>#REF!</v>
      </c>
      <c r="I54" s="125" t="e">
        <f t="shared" si="8"/>
        <v>#REF!</v>
      </c>
      <c r="J54" s="125" t="s">
        <v>264</v>
      </c>
      <c r="K54" s="125" t="e">
        <f>+IF(ISBLANK(VLOOKUP(A54,#REF!,5,0)),"",VLOOKUP(A54,#REF!,5,0))</f>
        <v>#REF!</v>
      </c>
      <c r="L54" s="125" t="e">
        <f>+IF(ISBLANK(VLOOKUP(A54,#REF!,9,0)),"",VLOOKUP(A54,#REF!,9,0))</f>
        <v>#REF!</v>
      </c>
      <c r="M54" s="125" t="e">
        <f t="shared" si="5"/>
        <v>#REF!</v>
      </c>
      <c r="N54" s="125" t="e">
        <f t="shared" ref="N54" si="13">+AVERAGEIF($D$2:$D$82,D54,$M$2:$M$82)</f>
        <v>#REF!</v>
      </c>
      <c r="O54" s="125"/>
      <c r="P54" s="125"/>
    </row>
    <row r="55" spans="1:16" ht="12.75" customHeight="1" x14ac:dyDescent="0.2">
      <c r="A55" s="125" t="s">
        <v>269</v>
      </c>
      <c r="B55" s="125" t="str">
        <f t="shared" si="9"/>
        <v>13</v>
      </c>
      <c r="C55" s="125" t="e">
        <f>+MID(VLOOKUP(A55,#REF!,2,0),6,LEN(VLOOKUP(A55,#REF!,2,0))-6)</f>
        <v>#REF!</v>
      </c>
      <c r="D55" s="125" t="s">
        <v>270</v>
      </c>
      <c r="E55" s="125" t="e">
        <f>+VLOOKUP(A55,#REF!,3,0)</f>
        <v>#REF!</v>
      </c>
      <c r="F55" s="125" t="e">
        <f>+VLOOKUP(A55,#REF!,10,0)</f>
        <v>#REF!</v>
      </c>
      <c r="G55" s="125" t="e">
        <f>+VLOOKUP(A55,#REF!,13,0)</f>
        <v>#REF!</v>
      </c>
      <c r="H55" s="127" t="e">
        <f t="shared" si="3"/>
        <v>#REF!</v>
      </c>
      <c r="I55" s="125" t="e">
        <f t="shared" si="8"/>
        <v>#REF!</v>
      </c>
      <c r="J55" s="125" t="s">
        <v>271</v>
      </c>
      <c r="K55" s="125" t="e">
        <f>+IF(ISBLANK(VLOOKUP(A55,#REF!,5,0)),"",VLOOKUP(A55,#REF!,5,0))</f>
        <v>#REF!</v>
      </c>
      <c r="L55" s="125" t="e">
        <f>+IF(ISBLANK(VLOOKUP(A55,#REF!,9,0)),"",VLOOKUP(A55,#REF!,9,0))</f>
        <v>#REF!</v>
      </c>
      <c r="M55" s="125" t="e">
        <f t="shared" si="5"/>
        <v>#REF!</v>
      </c>
      <c r="N55" s="125" t="e">
        <f>+AVERAGEIF($D$2:$D$82,D55,$M$2:$M$82)</f>
        <v>#REF!</v>
      </c>
      <c r="O55" s="125"/>
      <c r="P55" s="125"/>
    </row>
    <row r="56" spans="1:16" ht="12.75" customHeight="1" x14ac:dyDescent="0.2">
      <c r="A56" s="125" t="s">
        <v>272</v>
      </c>
      <c r="B56" s="125" t="str">
        <f t="shared" si="9"/>
        <v>13</v>
      </c>
      <c r="C56" s="125" t="e">
        <f>+MID(VLOOKUP(A56,#REF!,2,0),6,LEN(VLOOKUP(A56,#REF!,2,0))-6)</f>
        <v>#REF!</v>
      </c>
      <c r="D56" s="125" t="s">
        <v>270</v>
      </c>
      <c r="E56" s="125" t="e">
        <f>+VLOOKUP(A56,#REF!,3,0)</f>
        <v>#REF!</v>
      </c>
      <c r="F56" s="125" t="e">
        <f>+VLOOKUP(A56,#REF!,10,0)</f>
        <v>#REF!</v>
      </c>
      <c r="G56" s="125" t="e">
        <f>+VLOOKUP(A56,#REF!,13,0)</f>
        <v>#REF!</v>
      </c>
      <c r="H56" s="127" t="e">
        <f t="shared" si="3"/>
        <v>#REF!</v>
      </c>
      <c r="I56" s="125" t="e">
        <f t="shared" si="8"/>
        <v>#REF!</v>
      </c>
      <c r="J56" s="125" t="s">
        <v>271</v>
      </c>
      <c r="K56" s="125" t="e">
        <f>+IF(ISBLANK(VLOOKUP(A56,#REF!,5,0)),"",VLOOKUP(A56,#REF!,5,0))</f>
        <v>#REF!</v>
      </c>
      <c r="L56" s="125" t="e">
        <f>+IF(ISBLANK(VLOOKUP(A56,#REF!,9,0)),"",VLOOKUP(A56,#REF!,9,0))</f>
        <v>#REF!</v>
      </c>
      <c r="M56" s="125" t="e">
        <f t="shared" si="5"/>
        <v>#REF!</v>
      </c>
      <c r="N56" s="125" t="e">
        <f t="shared" si="4"/>
        <v>#REF!</v>
      </c>
      <c r="O56" s="125"/>
      <c r="P56" s="125"/>
    </row>
    <row r="57" spans="1:16" ht="12.75" customHeight="1" x14ac:dyDescent="0.2">
      <c r="A57" s="125" t="s">
        <v>273</v>
      </c>
      <c r="B57" s="125" t="str">
        <f t="shared" si="9"/>
        <v>13</v>
      </c>
      <c r="C57" s="125" t="e">
        <f>+MID(VLOOKUP(A57,#REF!,2,0),6,LEN(VLOOKUP(A57,#REF!,2,0))-6)</f>
        <v>#REF!</v>
      </c>
      <c r="D57" s="125" t="s">
        <v>270</v>
      </c>
      <c r="E57" s="125" t="e">
        <f>+VLOOKUP(A57,#REF!,3,0)</f>
        <v>#REF!</v>
      </c>
      <c r="F57" s="125" t="e">
        <f>+VLOOKUP(A57,#REF!,10,0)</f>
        <v>#REF!</v>
      </c>
      <c r="G57" s="125" t="e">
        <f>+VLOOKUP(A57,#REF!,13,0)</f>
        <v>#REF!</v>
      </c>
      <c r="H57" s="127" t="e">
        <f t="shared" si="3"/>
        <v>#REF!</v>
      </c>
      <c r="I57" s="125" t="e">
        <f t="shared" si="8"/>
        <v>#REF!</v>
      </c>
      <c r="J57" s="125" t="s">
        <v>271</v>
      </c>
      <c r="K57" s="125" t="e">
        <f>+IF(ISBLANK(VLOOKUP(A57,#REF!,5,0)),"",VLOOKUP(A57,#REF!,5,0))</f>
        <v>#REF!</v>
      </c>
      <c r="L57" s="125" t="e">
        <f>+IF(ISBLANK(VLOOKUP(A57,#REF!,9,0)),"",VLOOKUP(A57,#REF!,9,0))</f>
        <v>#REF!</v>
      </c>
      <c r="M57" s="125" t="e">
        <f t="shared" si="5"/>
        <v>#REF!</v>
      </c>
      <c r="N57" s="125" t="e">
        <f t="shared" si="4"/>
        <v>#REF!</v>
      </c>
      <c r="O57" s="125"/>
      <c r="P57" s="125"/>
    </row>
    <row r="58" spans="1:16" ht="12.75" customHeight="1" x14ac:dyDescent="0.2">
      <c r="A58" s="125" t="s">
        <v>274</v>
      </c>
      <c r="B58" s="125" t="str">
        <f t="shared" si="9"/>
        <v>13</v>
      </c>
      <c r="C58" s="125" t="e">
        <f>+MID(VLOOKUP(A58,#REF!,2,0),6,LEN(VLOOKUP(A58,#REF!,2,0))-6)</f>
        <v>#REF!</v>
      </c>
      <c r="D58" s="125" t="s">
        <v>270</v>
      </c>
      <c r="E58" s="125" t="e">
        <f>+VLOOKUP(A58,#REF!,3,0)</f>
        <v>#REF!</v>
      </c>
      <c r="F58" s="125" t="e">
        <f>+VLOOKUP(A58,#REF!,10,0)</f>
        <v>#REF!</v>
      </c>
      <c r="G58" s="125" t="e">
        <f>+VLOOKUP(A58,#REF!,13,0)</f>
        <v>#REF!</v>
      </c>
      <c r="H58" s="127" t="e">
        <f t="shared" si="3"/>
        <v>#REF!</v>
      </c>
      <c r="I58" s="125" t="e">
        <f t="shared" si="8"/>
        <v>#REF!</v>
      </c>
      <c r="J58" s="125" t="s">
        <v>271</v>
      </c>
      <c r="K58" s="125" t="e">
        <f>+IF(ISBLANK(VLOOKUP(A58,#REF!,5,0)),"",VLOOKUP(A58,#REF!,5,0))</f>
        <v>#REF!</v>
      </c>
      <c r="L58" s="125" t="e">
        <f>+IF(ISBLANK(VLOOKUP(A58,#REF!,9,0)),"",VLOOKUP(A58,#REF!,9,0))</f>
        <v>#REF!</v>
      </c>
      <c r="M58" s="125" t="e">
        <f t="shared" si="5"/>
        <v>#REF!</v>
      </c>
      <c r="N58" s="125" t="e">
        <f t="shared" si="4"/>
        <v>#REF!</v>
      </c>
      <c r="O58" s="125"/>
      <c r="P58" s="125"/>
    </row>
    <row r="59" spans="1:16" ht="12.75" customHeight="1" x14ac:dyDescent="0.2">
      <c r="A59" s="125" t="s">
        <v>275</v>
      </c>
      <c r="B59" s="125" t="str">
        <f t="shared" si="9"/>
        <v>14</v>
      </c>
      <c r="C59" s="125" t="e">
        <f>+MID(VLOOKUP(A59,#REF!,2,0),6,LEN(VLOOKUP(A59,#REF!,2,0))-6)</f>
        <v>#REF!</v>
      </c>
      <c r="D59" s="125" t="s">
        <v>270</v>
      </c>
      <c r="E59" s="125" t="e">
        <f>+VLOOKUP(A59,#REF!,3,0)</f>
        <v>#REF!</v>
      </c>
      <c r="F59" s="125" t="e">
        <f>+VLOOKUP(A59,#REF!,10,0)</f>
        <v>#REF!</v>
      </c>
      <c r="G59" s="125" t="e">
        <f>+VLOOKUP(A59,#REF!,13,0)</f>
        <v>#REF!</v>
      </c>
      <c r="H59" s="127" t="e">
        <f t="shared" si="3"/>
        <v>#REF!</v>
      </c>
      <c r="I59" s="125" t="e">
        <f t="shared" si="8"/>
        <v>#REF!</v>
      </c>
      <c r="J59" s="125" t="s">
        <v>276</v>
      </c>
      <c r="K59" s="125" t="e">
        <f>+IF(ISBLANK(VLOOKUP(A59,#REF!,5,0)),"",VLOOKUP(A59,#REF!,5,0))</f>
        <v>#REF!</v>
      </c>
      <c r="L59" s="125" t="e">
        <f>+IF(ISBLANK(VLOOKUP(A59,#REF!,9,0)),"",VLOOKUP(A59,#REF!,9,0))</f>
        <v>#REF!</v>
      </c>
      <c r="M59" s="125" t="e">
        <f t="shared" si="5"/>
        <v>#REF!</v>
      </c>
      <c r="N59" s="125" t="e">
        <f t="shared" si="4"/>
        <v>#REF!</v>
      </c>
      <c r="O59" s="125"/>
      <c r="P59" s="125"/>
    </row>
    <row r="60" spans="1:16" ht="12.75" customHeight="1" x14ac:dyDescent="0.2">
      <c r="A60" s="125" t="s">
        <v>277</v>
      </c>
      <c r="B60" s="125" t="str">
        <f t="shared" si="9"/>
        <v>14</v>
      </c>
      <c r="C60" s="125" t="e">
        <f>+MID(VLOOKUP(A60,#REF!,2,0),6,LEN(VLOOKUP(A60,#REF!,2,0))-6)</f>
        <v>#REF!</v>
      </c>
      <c r="D60" s="125" t="s">
        <v>270</v>
      </c>
      <c r="E60" s="125" t="e">
        <f>+VLOOKUP(A60,#REF!,3,0)</f>
        <v>#REF!</v>
      </c>
      <c r="F60" s="125" t="e">
        <f>+VLOOKUP(A60,#REF!,10,0)</f>
        <v>#REF!</v>
      </c>
      <c r="G60" s="125" t="e">
        <f>+VLOOKUP(A60,#REF!,13,0)</f>
        <v>#REF!</v>
      </c>
      <c r="H60" s="127" t="e">
        <f t="shared" si="3"/>
        <v>#REF!</v>
      </c>
      <c r="I60" s="125" t="e">
        <f t="shared" si="8"/>
        <v>#REF!</v>
      </c>
      <c r="J60" s="125" t="s">
        <v>276</v>
      </c>
      <c r="K60" s="125" t="e">
        <f>+IF(ISBLANK(VLOOKUP(A60,#REF!,5,0)),"",VLOOKUP(A60,#REF!,5,0))</f>
        <v>#REF!</v>
      </c>
      <c r="L60" s="125" t="e">
        <f>+IF(ISBLANK(VLOOKUP(A60,#REF!,9,0)),"",VLOOKUP(A60,#REF!,9,0))</f>
        <v>#REF!</v>
      </c>
      <c r="M60" s="125" t="e">
        <f t="shared" si="5"/>
        <v>#REF!</v>
      </c>
      <c r="N60" s="125" t="e">
        <f t="shared" si="4"/>
        <v>#REF!</v>
      </c>
      <c r="O60" s="125"/>
      <c r="P60" s="125"/>
    </row>
    <row r="61" spans="1:16" ht="12.75" customHeight="1" x14ac:dyDescent="0.2">
      <c r="A61" s="125" t="s">
        <v>278</v>
      </c>
      <c r="B61" s="125" t="str">
        <f t="shared" si="9"/>
        <v>14</v>
      </c>
      <c r="C61" s="125" t="e">
        <f>+MID(VLOOKUP(A61,#REF!,2,0),6,LEN(VLOOKUP(A61,#REF!,2,0))-6)</f>
        <v>#REF!</v>
      </c>
      <c r="D61" s="125" t="s">
        <v>270</v>
      </c>
      <c r="E61" s="125" t="e">
        <f>+VLOOKUP(A61,#REF!,3,0)</f>
        <v>#REF!</v>
      </c>
      <c r="F61" s="125" t="e">
        <f>+VLOOKUP(A61,#REF!,10,0)</f>
        <v>#REF!</v>
      </c>
      <c r="G61" s="125" t="e">
        <f>+VLOOKUP(A61,#REF!,13,0)</f>
        <v>#REF!</v>
      </c>
      <c r="H61" s="127" t="e">
        <f t="shared" si="3"/>
        <v>#REF!</v>
      </c>
      <c r="I61" s="125" t="e">
        <f t="shared" si="8"/>
        <v>#REF!</v>
      </c>
      <c r="J61" s="125" t="s">
        <v>276</v>
      </c>
      <c r="K61" s="125" t="e">
        <f>+IF(ISBLANK(VLOOKUP(A61,#REF!,5,0)),"",VLOOKUP(A61,#REF!,5,0))</f>
        <v>#REF!</v>
      </c>
      <c r="L61" s="125" t="e">
        <f>+IF(ISBLANK(VLOOKUP(A61,#REF!,9,0)),"",VLOOKUP(A61,#REF!,9,0))</f>
        <v>#REF!</v>
      </c>
      <c r="M61" s="125" t="e">
        <f t="shared" si="5"/>
        <v>#REF!</v>
      </c>
      <c r="N61" s="125" t="e">
        <f t="shared" si="4"/>
        <v>#REF!</v>
      </c>
      <c r="O61" s="125"/>
      <c r="P61" s="125"/>
    </row>
    <row r="62" spans="1:16" ht="12.75" customHeight="1" x14ac:dyDescent="0.2">
      <c r="A62" s="125" t="s">
        <v>279</v>
      </c>
      <c r="B62" s="125" t="str">
        <f t="shared" si="9"/>
        <v>14</v>
      </c>
      <c r="C62" s="125" t="e">
        <f>+MID(VLOOKUP(A62,#REF!,2,0),6,LEN(VLOOKUP(A62,#REF!,2,0))-6)</f>
        <v>#REF!</v>
      </c>
      <c r="D62" s="125" t="s">
        <v>270</v>
      </c>
      <c r="E62" s="125" t="e">
        <f>+VLOOKUP(A62,#REF!,3,0)</f>
        <v>#REF!</v>
      </c>
      <c r="F62" s="125" t="e">
        <f>+VLOOKUP(A62,#REF!,10,0)</f>
        <v>#REF!</v>
      </c>
      <c r="G62" s="125" t="e">
        <f>+VLOOKUP(A62,#REF!,13,0)</f>
        <v>#REF!</v>
      </c>
      <c r="H62" s="127" t="e">
        <f t="shared" si="3"/>
        <v>#REF!</v>
      </c>
      <c r="I62" s="125" t="e">
        <f t="shared" si="8"/>
        <v>#REF!</v>
      </c>
      <c r="J62" s="125" t="s">
        <v>276</v>
      </c>
      <c r="K62" s="125" t="e">
        <f>+IF(ISBLANK(VLOOKUP(A62,#REF!,5,0)),"",VLOOKUP(A62,#REF!,5,0))</f>
        <v>#REF!</v>
      </c>
      <c r="L62" s="125" t="e">
        <f>+IF(ISBLANK(VLOOKUP(A62,#REF!,9,0)),"",VLOOKUP(A62,#REF!,9,0))</f>
        <v>#REF!</v>
      </c>
      <c r="M62" s="125" t="e">
        <f t="shared" si="5"/>
        <v>#REF!</v>
      </c>
      <c r="N62" s="125" t="e">
        <f t="shared" si="4"/>
        <v>#REF!</v>
      </c>
      <c r="O62" s="125"/>
      <c r="P62" s="125"/>
    </row>
    <row r="63" spans="1:16" ht="12.75" customHeight="1" x14ac:dyDescent="0.2">
      <c r="A63" s="125" t="s">
        <v>280</v>
      </c>
      <c r="B63" s="125" t="str">
        <f t="shared" si="9"/>
        <v>15</v>
      </c>
      <c r="C63" s="125" t="e">
        <f>+MID(VLOOKUP(A63,#REF!,2,0),6,LEN(VLOOKUP(A63,#REF!,2,0))-6)</f>
        <v>#REF!</v>
      </c>
      <c r="D63" s="125" t="s">
        <v>270</v>
      </c>
      <c r="E63" s="125" t="e">
        <f>+VLOOKUP(A63,#REF!,3,0)</f>
        <v>#REF!</v>
      </c>
      <c r="F63" s="125" t="e">
        <f>+VLOOKUP(A63,#REF!,10,0)</f>
        <v>#REF!</v>
      </c>
      <c r="G63" s="125" t="e">
        <f>+VLOOKUP(A63,#REF!,13,0)</f>
        <v>#REF!</v>
      </c>
      <c r="H63" s="127" t="e">
        <f t="shared" si="3"/>
        <v>#REF!</v>
      </c>
      <c r="I63" s="125" t="e">
        <f t="shared" si="8"/>
        <v>#REF!</v>
      </c>
      <c r="J63" s="125" t="s">
        <v>281</v>
      </c>
      <c r="K63" s="125" t="e">
        <f>+IF(ISBLANK(VLOOKUP(A63,#REF!,5,0)),"",VLOOKUP(A63,#REF!,5,0))</f>
        <v>#REF!</v>
      </c>
      <c r="L63" s="125" t="e">
        <f>+IF(ISBLANK(VLOOKUP(A63,#REF!,9,0)),"",VLOOKUP(A63,#REF!,9,0))</f>
        <v>#REF!</v>
      </c>
      <c r="M63" s="125" t="e">
        <f t="shared" si="5"/>
        <v>#REF!</v>
      </c>
      <c r="N63" s="125" t="e">
        <f t="shared" si="4"/>
        <v>#REF!</v>
      </c>
      <c r="O63" s="125"/>
      <c r="P63" s="125"/>
    </row>
    <row r="64" spans="1:16" x14ac:dyDescent="0.2">
      <c r="A64" s="125" t="s">
        <v>282</v>
      </c>
      <c r="B64" s="125" t="str">
        <f t="shared" si="9"/>
        <v>15</v>
      </c>
      <c r="C64" s="125" t="e">
        <f>+MID(VLOOKUP(A64,#REF!,2,0),6,LEN(VLOOKUP(A64,#REF!,2,0))-6)</f>
        <v>#REF!</v>
      </c>
      <c r="D64" s="125" t="s">
        <v>270</v>
      </c>
      <c r="E64" s="125" t="e">
        <f>+VLOOKUP(A64,#REF!,3,0)</f>
        <v>#REF!</v>
      </c>
      <c r="F64" s="125" t="e">
        <f>+VLOOKUP(A64,#REF!,10,0)</f>
        <v>#REF!</v>
      </c>
      <c r="G64" s="125" t="e">
        <f>+VLOOKUP(A64,#REF!,13,0)</f>
        <v>#REF!</v>
      </c>
      <c r="H64" s="127" t="e">
        <f t="shared" si="3"/>
        <v>#REF!</v>
      </c>
      <c r="I64" s="125" t="e">
        <f t="shared" si="8"/>
        <v>#REF!</v>
      </c>
      <c r="J64" s="125" t="s">
        <v>281</v>
      </c>
      <c r="K64" s="125" t="e">
        <f>+IF(ISBLANK(VLOOKUP(A64,#REF!,5,0)),"",VLOOKUP(A64,#REF!,5,0))</f>
        <v>#REF!</v>
      </c>
      <c r="L64" s="125" t="e">
        <f>+IF(ISBLANK(VLOOKUP(A64,#REF!,9,0)),"",VLOOKUP(A64,#REF!,9,0))</f>
        <v>#REF!</v>
      </c>
      <c r="M64" s="125" t="e">
        <f t="shared" si="5"/>
        <v>#REF!</v>
      </c>
      <c r="N64" s="125" t="e">
        <f t="shared" si="4"/>
        <v>#REF!</v>
      </c>
      <c r="O64" s="125"/>
      <c r="P64" s="125"/>
    </row>
    <row r="65" spans="1:16" x14ac:dyDescent="0.2">
      <c r="A65" s="125" t="s">
        <v>283</v>
      </c>
      <c r="B65" s="125" t="str">
        <f t="shared" si="9"/>
        <v>15</v>
      </c>
      <c r="C65" s="125" t="e">
        <f>+MID(VLOOKUP(A65,#REF!,2,0),6,LEN(VLOOKUP(A65,#REF!,2,0))-6)</f>
        <v>#REF!</v>
      </c>
      <c r="D65" s="125" t="s">
        <v>270</v>
      </c>
      <c r="E65" s="125" t="e">
        <f>+VLOOKUP(A65,#REF!,3,0)</f>
        <v>#REF!</v>
      </c>
      <c r="F65" s="125" t="e">
        <f>+VLOOKUP(A65,#REF!,10,0)</f>
        <v>#REF!</v>
      </c>
      <c r="G65" s="125" t="e">
        <f>+VLOOKUP(A65,#REF!,13,0)</f>
        <v>#REF!</v>
      </c>
      <c r="H65" s="127" t="e">
        <f t="shared" si="3"/>
        <v>#REF!</v>
      </c>
      <c r="I65" s="125" t="e">
        <f t="shared" si="8"/>
        <v>#REF!</v>
      </c>
      <c r="J65" s="125" t="s">
        <v>281</v>
      </c>
      <c r="K65" s="125" t="e">
        <f>+IF(ISBLANK(VLOOKUP(A65,#REF!,5,0)),"",VLOOKUP(A65,#REF!,5,0))</f>
        <v>#REF!</v>
      </c>
      <c r="L65" s="125" t="e">
        <f>+IF(ISBLANK(VLOOKUP(A65,#REF!,9,0)),"",VLOOKUP(A65,#REF!,9,0))</f>
        <v>#REF!</v>
      </c>
      <c r="M65" s="125" t="e">
        <f t="shared" si="5"/>
        <v>#REF!</v>
      </c>
      <c r="N65" s="125" t="e">
        <f t="shared" si="4"/>
        <v>#REF!</v>
      </c>
      <c r="O65" s="125"/>
      <c r="P65" s="125"/>
    </row>
    <row r="66" spans="1:16" x14ac:dyDescent="0.2">
      <c r="A66" s="125" t="s">
        <v>284</v>
      </c>
      <c r="B66" s="125" t="str">
        <f t="shared" si="9"/>
        <v>15</v>
      </c>
      <c r="C66" s="125" t="e">
        <f>+MID(VLOOKUP(A66,#REF!,2,0),6,LEN(VLOOKUP(A66,#REF!,2,0))-6)</f>
        <v>#REF!</v>
      </c>
      <c r="D66" s="125" t="s">
        <v>270</v>
      </c>
      <c r="E66" s="125" t="e">
        <f>+VLOOKUP(A66,#REF!,3,0)</f>
        <v>#REF!</v>
      </c>
      <c r="F66" s="125" t="e">
        <f>+VLOOKUP(A66,#REF!,10,0)</f>
        <v>#REF!</v>
      </c>
      <c r="G66" s="125" t="e">
        <f>+VLOOKUP(A66,#REF!,13,0)</f>
        <v>#REF!</v>
      </c>
      <c r="H66" s="127" t="e">
        <f t="shared" si="3"/>
        <v>#REF!</v>
      </c>
      <c r="I66" s="125" t="e">
        <f t="shared" ref="I66:I82" si="14">+IF(F66=$F$2,$P$4,IF(F66=$F$3,$P$2,$P$3))</f>
        <v>#REF!</v>
      </c>
      <c r="J66" s="125" t="s">
        <v>281</v>
      </c>
      <c r="K66" s="125" t="e">
        <f>+IF(ISBLANK(VLOOKUP(A66,#REF!,5,0)),"",VLOOKUP(A66,#REF!,5,0))</f>
        <v>#REF!</v>
      </c>
      <c r="L66" s="125" t="e">
        <f>+IF(ISBLANK(VLOOKUP(A66,#REF!,9,0)),"",VLOOKUP(A66,#REF!,9,0))</f>
        <v>#REF!</v>
      </c>
      <c r="M66" s="125" t="e">
        <f t="shared" si="5"/>
        <v>#REF!</v>
      </c>
      <c r="N66" s="125" t="e">
        <f t="shared" si="4"/>
        <v>#REF!</v>
      </c>
      <c r="O66" s="125"/>
      <c r="P66" s="125"/>
    </row>
    <row r="67" spans="1:16" x14ac:dyDescent="0.2">
      <c r="A67" s="125" t="s">
        <v>285</v>
      </c>
      <c r="B67" s="125" t="str">
        <f t="shared" si="9"/>
        <v>15</v>
      </c>
      <c r="C67" s="125" t="e">
        <f>+MID(VLOOKUP(A67,#REF!,2,0),6,LEN(VLOOKUP(A67,#REF!,2,0))-6)</f>
        <v>#REF!</v>
      </c>
      <c r="D67" s="125" t="s">
        <v>270</v>
      </c>
      <c r="E67" s="125" t="e">
        <f>+VLOOKUP(A67,#REF!,3,0)</f>
        <v>#REF!</v>
      </c>
      <c r="F67" s="125" t="e">
        <f>+VLOOKUP(A67,#REF!,10,0)</f>
        <v>#REF!</v>
      </c>
      <c r="G67" s="125" t="e">
        <f>+VLOOKUP(A67,#REF!,13,0)</f>
        <v>#REF!</v>
      </c>
      <c r="H67" s="127" t="e">
        <f t="shared" si="3"/>
        <v>#REF!</v>
      </c>
      <c r="I67" s="125" t="e">
        <f t="shared" si="14"/>
        <v>#REF!</v>
      </c>
      <c r="J67" s="125" t="s">
        <v>281</v>
      </c>
      <c r="K67" s="125" t="e">
        <f>+IF(ISBLANK(VLOOKUP(A67,#REF!,5,0)),"",VLOOKUP(A67,#REF!,5,0))</f>
        <v>#REF!</v>
      </c>
      <c r="L67" s="125" t="e">
        <f>+IF(ISBLANK(VLOOKUP(A67,#REF!,9,0)),"",VLOOKUP(A67,#REF!,9,0))</f>
        <v>#REF!</v>
      </c>
      <c r="M67" s="125" t="e">
        <f t="shared" si="5"/>
        <v>#REF!</v>
      </c>
      <c r="N67" s="125" t="e">
        <f t="shared" si="4"/>
        <v>#REF!</v>
      </c>
      <c r="O67" s="125"/>
      <c r="P67" s="125"/>
    </row>
    <row r="68" spans="1:16" x14ac:dyDescent="0.2">
      <c r="A68" s="125" t="s">
        <v>286</v>
      </c>
      <c r="B68" s="125" t="str">
        <f t="shared" si="9"/>
        <v>15</v>
      </c>
      <c r="C68" s="125" t="e">
        <f>+MID(VLOOKUP(A68,#REF!,2,0),6,LEN(VLOOKUP(A68,#REF!,2,0))-6)</f>
        <v>#REF!</v>
      </c>
      <c r="D68" s="125" t="s">
        <v>270</v>
      </c>
      <c r="E68" s="125" t="e">
        <f>+VLOOKUP(A68,#REF!,3,0)</f>
        <v>#REF!</v>
      </c>
      <c r="F68" s="125" t="e">
        <f>+VLOOKUP(A68,#REF!,10,0)</f>
        <v>#REF!</v>
      </c>
      <c r="G68" s="125" t="e">
        <f>+VLOOKUP(A68,#REF!,13,0)</f>
        <v>#REF!</v>
      </c>
      <c r="H68" s="127" t="e">
        <f t="shared" si="3"/>
        <v>#REF!</v>
      </c>
      <c r="I68" s="125" t="e">
        <f t="shared" si="14"/>
        <v>#REF!</v>
      </c>
      <c r="J68" s="125" t="s">
        <v>281</v>
      </c>
      <c r="K68" s="125" t="e">
        <f>+IF(ISBLANK(VLOOKUP(A68,#REF!,5,0)),"",VLOOKUP(A68,#REF!,5,0))</f>
        <v>#REF!</v>
      </c>
      <c r="L68" s="125" t="e">
        <f>+IF(ISBLANK(VLOOKUP(A68,#REF!,9,0)),"",VLOOKUP(A68,#REF!,9,0))</f>
        <v>#REF!</v>
      </c>
      <c r="M68" s="125" t="e">
        <f t="shared" ref="M68:M82" si="15">+IF(OR(AND(K68=1,L68=1),AND(ISBLANK(K68),ISBLANK(L68)),K68="",L68=""),0,IF(OR(AND(K68=1,L68=2),AND(K68=1,L68=3)),0.25,IF(OR(AND(K68=2,L68=2),AND(K68=3,L68=1),AND(K68=3,L68=2),AND(K68=2,L68=1)),0.5,IF(AND(K68=2,L68=3),0.75,1))))</f>
        <v>#REF!</v>
      </c>
      <c r="N68" s="125" t="e">
        <f t="shared" si="4"/>
        <v>#REF!</v>
      </c>
      <c r="O68" s="125"/>
      <c r="P68" s="125"/>
    </row>
    <row r="69" spans="1:16" x14ac:dyDescent="0.2">
      <c r="A69" s="125" t="s">
        <v>287</v>
      </c>
      <c r="B69" s="125" t="str">
        <f t="shared" si="9"/>
        <v>16</v>
      </c>
      <c r="C69" s="125" t="e">
        <f>+MID(VLOOKUP(A69,#REF!,2,0),6,LEN(VLOOKUP(A69,#REF!,2,0))-6)</f>
        <v>#REF!</v>
      </c>
      <c r="D69" s="125" t="s">
        <v>288</v>
      </c>
      <c r="E69" s="125" t="e">
        <f>+VLOOKUP(A69,#REF!,3,0)</f>
        <v>#REF!</v>
      </c>
      <c r="F69" s="125" t="e">
        <f>+VLOOKUP(A69,#REF!,10,0)</f>
        <v>#REF!</v>
      </c>
      <c r="G69" s="125" t="e">
        <f>+VLOOKUP(A69,#REF!,13,0)</f>
        <v>#REF!</v>
      </c>
      <c r="H69" s="127" t="e">
        <f t="shared" si="3"/>
        <v>#REF!</v>
      </c>
      <c r="I69" s="125" t="e">
        <f t="shared" si="14"/>
        <v>#REF!</v>
      </c>
      <c r="J69" s="125" t="s">
        <v>289</v>
      </c>
      <c r="K69" s="125" t="e">
        <f>+IF(ISBLANK(VLOOKUP(A69,#REF!,5,0)),"",VLOOKUP(A69,#REF!,5,0))</f>
        <v>#REF!</v>
      </c>
      <c r="L69" s="125" t="e">
        <f>+IF(ISBLANK(VLOOKUP(A69,#REF!,9,0)),"",VLOOKUP(A69,#REF!,9,0))</f>
        <v>#REF!</v>
      </c>
      <c r="M69" s="125" t="e">
        <f t="shared" si="15"/>
        <v>#REF!</v>
      </c>
      <c r="N69" s="125" t="e">
        <f t="shared" si="4"/>
        <v>#REF!</v>
      </c>
      <c r="O69" s="125"/>
      <c r="P69" s="125"/>
    </row>
    <row r="70" spans="1:16" x14ac:dyDescent="0.2">
      <c r="A70" s="125" t="s">
        <v>290</v>
      </c>
      <c r="B70" s="125" t="str">
        <f t="shared" si="9"/>
        <v>16</v>
      </c>
      <c r="C70" s="125" t="e">
        <f>+MID(VLOOKUP(A70,#REF!,2,0),6,LEN(VLOOKUP(A70,#REF!,2,0))-6)</f>
        <v>#REF!</v>
      </c>
      <c r="D70" s="125" t="s">
        <v>288</v>
      </c>
      <c r="E70" s="125" t="e">
        <f>+VLOOKUP(A70,#REF!,3,0)</f>
        <v>#REF!</v>
      </c>
      <c r="F70" s="125" t="e">
        <f>+VLOOKUP(A70,#REF!,10,0)</f>
        <v>#REF!</v>
      </c>
      <c r="G70" s="125" t="e">
        <f>+VLOOKUP(A70,#REF!,13,0)</f>
        <v>#REF!</v>
      </c>
      <c r="H70" s="127" t="e">
        <f t="shared" si="3"/>
        <v>#REF!</v>
      </c>
      <c r="I70" s="125" t="e">
        <f t="shared" si="14"/>
        <v>#REF!</v>
      </c>
      <c r="J70" s="125" t="s">
        <v>289</v>
      </c>
      <c r="K70" s="125" t="e">
        <f>+IF(ISBLANK(VLOOKUP(A70,#REF!,5,0)),"",VLOOKUP(A70,#REF!,5,0))</f>
        <v>#REF!</v>
      </c>
      <c r="L70" s="125" t="e">
        <f>+IF(ISBLANK(VLOOKUP(A70,#REF!,9,0)),"",VLOOKUP(A70,#REF!,9,0))</f>
        <v>#REF!</v>
      </c>
      <c r="M70" s="125" t="e">
        <f t="shared" si="15"/>
        <v>#REF!</v>
      </c>
      <c r="N70" s="125" t="e">
        <f t="shared" si="4"/>
        <v>#REF!</v>
      </c>
      <c r="O70" s="125"/>
      <c r="P70" s="125"/>
    </row>
    <row r="71" spans="1:16" x14ac:dyDescent="0.2">
      <c r="A71" s="125" t="s">
        <v>291</v>
      </c>
      <c r="B71" s="125" t="str">
        <f t="shared" si="9"/>
        <v>16</v>
      </c>
      <c r="C71" s="125" t="e">
        <f>+MID(VLOOKUP(A71,#REF!,2,0),6,LEN(VLOOKUP(A71,#REF!,2,0))-6)</f>
        <v>#REF!</v>
      </c>
      <c r="D71" s="125" t="s">
        <v>288</v>
      </c>
      <c r="E71" s="125" t="e">
        <f>+VLOOKUP(A71,#REF!,3,0)</f>
        <v>#REF!</v>
      </c>
      <c r="F71" s="125" t="e">
        <f>+VLOOKUP(A71,#REF!,10,0)</f>
        <v>#REF!</v>
      </c>
      <c r="G71" s="125" t="e">
        <f>+VLOOKUP(A71,#REF!,13,0)</f>
        <v>#REF!</v>
      </c>
      <c r="H71" s="127" t="e">
        <f t="shared" ref="H71:H82" si="16">+_xlfn.RANK.EQ(G71,$G$2:$G$82,1)</f>
        <v>#REF!</v>
      </c>
      <c r="I71" s="125" t="e">
        <f t="shared" si="14"/>
        <v>#REF!</v>
      </c>
      <c r="J71" s="125" t="s">
        <v>289</v>
      </c>
      <c r="K71" s="125" t="e">
        <f>+IF(ISBLANK(VLOOKUP(A71,#REF!,5,0)),"",VLOOKUP(A71,#REF!,5,0))</f>
        <v>#REF!</v>
      </c>
      <c r="L71" s="125" t="e">
        <f>+IF(ISBLANK(VLOOKUP(A71,#REF!,9,0)),"",VLOOKUP(A71,#REF!,9,0))</f>
        <v>#REF!</v>
      </c>
      <c r="M71" s="125" t="e">
        <f t="shared" si="15"/>
        <v>#REF!</v>
      </c>
      <c r="N71" s="125" t="e">
        <f t="shared" ref="N71:N82" si="17">+AVERAGEIF($D$2:$D$82,D71,$M$2:$M$82)</f>
        <v>#REF!</v>
      </c>
      <c r="O71" s="125"/>
      <c r="P71" s="125"/>
    </row>
    <row r="72" spans="1:16" x14ac:dyDescent="0.2">
      <c r="A72" s="125" t="s">
        <v>292</v>
      </c>
      <c r="B72" s="125" t="str">
        <f t="shared" si="9"/>
        <v>16</v>
      </c>
      <c r="C72" s="125" t="e">
        <f>+MID(VLOOKUP(A72,#REF!,2,0),6,LEN(VLOOKUP(A72,#REF!,2,0))-6)</f>
        <v>#REF!</v>
      </c>
      <c r="D72" s="125" t="s">
        <v>288</v>
      </c>
      <c r="E72" s="125" t="e">
        <f>+VLOOKUP(A72,#REF!,3,0)</f>
        <v>#REF!</v>
      </c>
      <c r="F72" s="125" t="e">
        <f>+VLOOKUP(A72,#REF!,10,0)</f>
        <v>#REF!</v>
      </c>
      <c r="G72" s="125" t="e">
        <f>+VLOOKUP(A72,#REF!,13,0)</f>
        <v>#REF!</v>
      </c>
      <c r="H72" s="127" t="e">
        <f t="shared" si="16"/>
        <v>#REF!</v>
      </c>
      <c r="I72" s="125" t="e">
        <f t="shared" si="14"/>
        <v>#REF!</v>
      </c>
      <c r="J72" s="125" t="s">
        <v>289</v>
      </c>
      <c r="K72" s="125" t="e">
        <f>+IF(ISBLANK(VLOOKUP(A72,#REF!,5,0)),"",VLOOKUP(A72,#REF!,5,0))</f>
        <v>#REF!</v>
      </c>
      <c r="L72" s="125" t="e">
        <f>+IF(ISBLANK(VLOOKUP(A72,#REF!,9,0)),"",VLOOKUP(A72,#REF!,9,0))</f>
        <v>#REF!</v>
      </c>
      <c r="M72" s="125" t="e">
        <f t="shared" si="15"/>
        <v>#REF!</v>
      </c>
      <c r="N72" s="125" t="e">
        <f t="shared" si="17"/>
        <v>#REF!</v>
      </c>
      <c r="O72" s="125"/>
      <c r="P72" s="125"/>
    </row>
    <row r="73" spans="1:16" x14ac:dyDescent="0.2">
      <c r="A73" s="125" t="s">
        <v>293</v>
      </c>
      <c r="B73" s="125" t="str">
        <f t="shared" si="9"/>
        <v>16</v>
      </c>
      <c r="C73" s="125" t="e">
        <f>+MID(VLOOKUP(A73,#REF!,2,0),6,LEN(VLOOKUP(A73,#REF!,2,0))-6)</f>
        <v>#REF!</v>
      </c>
      <c r="D73" s="125" t="s">
        <v>288</v>
      </c>
      <c r="E73" s="125" t="e">
        <f>+VLOOKUP(A73,#REF!,3,0)</f>
        <v>#REF!</v>
      </c>
      <c r="F73" s="125" t="e">
        <f>+VLOOKUP(A73,#REF!,10,0)</f>
        <v>#REF!</v>
      </c>
      <c r="G73" s="125" t="e">
        <f>+VLOOKUP(A73,#REF!,13,0)</f>
        <v>#REF!</v>
      </c>
      <c r="H73" s="127" t="e">
        <f t="shared" si="16"/>
        <v>#REF!</v>
      </c>
      <c r="I73" s="125" t="e">
        <f t="shared" si="14"/>
        <v>#REF!</v>
      </c>
      <c r="J73" s="125" t="s">
        <v>289</v>
      </c>
      <c r="K73" s="125" t="e">
        <f>+IF(ISBLANK(VLOOKUP(A73,#REF!,5,0)),"",VLOOKUP(A73,#REF!,5,0))</f>
        <v>#REF!</v>
      </c>
      <c r="L73" s="125" t="e">
        <f>+IF(ISBLANK(VLOOKUP(A73,#REF!,9,0)),"",VLOOKUP(A73,#REF!,9,0))</f>
        <v>#REF!</v>
      </c>
      <c r="M73" s="125" t="e">
        <f t="shared" si="15"/>
        <v>#REF!</v>
      </c>
      <c r="N73" s="125" t="e">
        <f t="shared" si="17"/>
        <v>#REF!</v>
      </c>
      <c r="O73" s="125"/>
      <c r="P73" s="125"/>
    </row>
    <row r="74" spans="1:16" x14ac:dyDescent="0.2">
      <c r="A74" s="125" t="s">
        <v>294</v>
      </c>
      <c r="B74" s="125" t="str">
        <f t="shared" si="9"/>
        <v>17</v>
      </c>
      <c r="C74" s="125" t="e">
        <f>+MID(VLOOKUP(A74,#REF!,2,0),6,LEN(VLOOKUP(A74,#REF!,2,0))-6)</f>
        <v>#REF!</v>
      </c>
      <c r="D74" s="125" t="s">
        <v>288</v>
      </c>
      <c r="E74" s="125" t="e">
        <f>+VLOOKUP(A74,#REF!,3,0)</f>
        <v>#REF!</v>
      </c>
      <c r="F74" s="125" t="e">
        <f>+VLOOKUP(A74,#REF!,10,0)</f>
        <v>#REF!</v>
      </c>
      <c r="G74" s="125" t="e">
        <f>+VLOOKUP(A74,#REF!,13,0)</f>
        <v>#REF!</v>
      </c>
      <c r="H74" s="127" t="e">
        <f t="shared" si="16"/>
        <v>#REF!</v>
      </c>
      <c r="I74" s="125" t="e">
        <f t="shared" si="14"/>
        <v>#REF!</v>
      </c>
      <c r="J74" s="125" t="s">
        <v>295</v>
      </c>
      <c r="K74" s="125" t="e">
        <f>+IF(ISBLANK(VLOOKUP(A74,#REF!,5,0)),"",VLOOKUP(A74,#REF!,5,0))</f>
        <v>#REF!</v>
      </c>
      <c r="L74" s="125" t="e">
        <f>+IF(ISBLANK(VLOOKUP(A74,#REF!,9,0)),"",VLOOKUP(A74,#REF!,9,0))</f>
        <v>#REF!</v>
      </c>
      <c r="M74" s="125" t="e">
        <f t="shared" si="15"/>
        <v>#REF!</v>
      </c>
      <c r="N74" s="125" t="e">
        <f t="shared" si="17"/>
        <v>#REF!</v>
      </c>
      <c r="O74" s="125"/>
      <c r="P74" s="125"/>
    </row>
    <row r="75" spans="1:16" x14ac:dyDescent="0.2">
      <c r="A75" s="125" t="s">
        <v>296</v>
      </c>
      <c r="B75" s="125" t="str">
        <f t="shared" si="9"/>
        <v>17</v>
      </c>
      <c r="C75" s="125" t="e">
        <f>+MID(VLOOKUP(A75,#REF!,2,0),6,LEN(VLOOKUP(A75,#REF!,2,0))-6)</f>
        <v>#REF!</v>
      </c>
      <c r="D75" s="125" t="s">
        <v>288</v>
      </c>
      <c r="E75" s="125" t="e">
        <f>+VLOOKUP(A75,#REF!,3,0)</f>
        <v>#REF!</v>
      </c>
      <c r="F75" s="125" t="e">
        <f>+VLOOKUP(A75,#REF!,10,0)</f>
        <v>#REF!</v>
      </c>
      <c r="G75" s="125" t="e">
        <f>+VLOOKUP(A75,#REF!,13,0)</f>
        <v>#REF!</v>
      </c>
      <c r="H75" s="127" t="e">
        <f t="shared" si="16"/>
        <v>#REF!</v>
      </c>
      <c r="I75" s="125" t="e">
        <f t="shared" si="14"/>
        <v>#REF!</v>
      </c>
      <c r="J75" s="125" t="s">
        <v>295</v>
      </c>
      <c r="K75" s="125" t="e">
        <f>+IF(ISBLANK(VLOOKUP(A75,#REF!,5,0)),"",VLOOKUP(A75,#REF!,5,0))</f>
        <v>#REF!</v>
      </c>
      <c r="L75" s="125" t="e">
        <f>+IF(ISBLANK(VLOOKUP(A75,#REF!,9,0)),"",VLOOKUP(A75,#REF!,9,0))</f>
        <v>#REF!</v>
      </c>
      <c r="M75" s="125" t="e">
        <f t="shared" si="15"/>
        <v>#REF!</v>
      </c>
      <c r="N75" s="125" t="e">
        <f t="shared" si="17"/>
        <v>#REF!</v>
      </c>
      <c r="O75" s="125"/>
      <c r="P75" s="125"/>
    </row>
    <row r="76" spans="1:16" x14ac:dyDescent="0.2">
      <c r="A76" s="125" t="s">
        <v>297</v>
      </c>
      <c r="B76" s="125" t="str">
        <f t="shared" si="9"/>
        <v>17</v>
      </c>
      <c r="C76" s="125" t="e">
        <f>+MID(VLOOKUP(A76,#REF!,2,0),6,LEN(VLOOKUP(A76,#REF!,2,0))-6)</f>
        <v>#REF!</v>
      </c>
      <c r="D76" s="125" t="s">
        <v>288</v>
      </c>
      <c r="E76" s="125" t="e">
        <f>+VLOOKUP(A76,#REF!,3,0)</f>
        <v>#REF!</v>
      </c>
      <c r="F76" s="125" t="e">
        <f>+VLOOKUP(A76,#REF!,10,0)</f>
        <v>#REF!</v>
      </c>
      <c r="G76" s="125" t="e">
        <f>+VLOOKUP(A76,#REF!,13,0)</f>
        <v>#REF!</v>
      </c>
      <c r="H76" s="127" t="e">
        <f t="shared" si="16"/>
        <v>#REF!</v>
      </c>
      <c r="I76" s="125" t="e">
        <f t="shared" si="14"/>
        <v>#REF!</v>
      </c>
      <c r="J76" s="125" t="s">
        <v>295</v>
      </c>
      <c r="K76" s="125" t="e">
        <f>+IF(ISBLANK(VLOOKUP(A76,#REF!,5,0)),"",VLOOKUP(A76,#REF!,5,0))</f>
        <v>#REF!</v>
      </c>
      <c r="L76" s="125" t="e">
        <f>+IF(ISBLANK(VLOOKUP(A76,#REF!,9,0)),"",VLOOKUP(A76,#REF!,9,0))</f>
        <v>#REF!</v>
      </c>
      <c r="M76" s="125" t="e">
        <f t="shared" si="15"/>
        <v>#REF!</v>
      </c>
      <c r="N76" s="125" t="e">
        <f t="shared" si="17"/>
        <v>#REF!</v>
      </c>
      <c r="O76" s="125"/>
      <c r="P76" s="125"/>
    </row>
    <row r="77" spans="1:16" x14ac:dyDescent="0.2">
      <c r="A77" s="125" t="s">
        <v>298</v>
      </c>
      <c r="B77" s="125" t="str">
        <f t="shared" si="9"/>
        <v>17</v>
      </c>
      <c r="C77" s="125" t="e">
        <f>+MID(VLOOKUP(A77,#REF!,2,0),6,LEN(VLOOKUP(A77,#REF!,2,0))-6)</f>
        <v>#REF!</v>
      </c>
      <c r="D77" s="125" t="s">
        <v>288</v>
      </c>
      <c r="E77" s="125" t="e">
        <f>+VLOOKUP(A77,#REF!,3,0)</f>
        <v>#REF!</v>
      </c>
      <c r="F77" s="125" t="e">
        <f>+VLOOKUP(A77,#REF!,10,0)</f>
        <v>#REF!</v>
      </c>
      <c r="G77" s="125" t="e">
        <f>+VLOOKUP(A77,#REF!,13,0)</f>
        <v>#REF!</v>
      </c>
      <c r="H77" s="127" t="e">
        <f t="shared" si="16"/>
        <v>#REF!</v>
      </c>
      <c r="I77" s="125" t="e">
        <f t="shared" si="14"/>
        <v>#REF!</v>
      </c>
      <c r="J77" s="125" t="s">
        <v>295</v>
      </c>
      <c r="K77" s="125" t="e">
        <f>+IF(ISBLANK(VLOOKUP(A77,#REF!,5,0)),"",VLOOKUP(A77,#REF!,5,0))</f>
        <v>#REF!</v>
      </c>
      <c r="L77" s="125" t="e">
        <f>+IF(ISBLANK(VLOOKUP(A77,#REF!,9,0)),"",VLOOKUP(A77,#REF!,9,0))</f>
        <v>#REF!</v>
      </c>
      <c r="M77" s="125" t="e">
        <f t="shared" si="15"/>
        <v>#REF!</v>
      </c>
      <c r="N77" s="125" t="e">
        <f t="shared" si="17"/>
        <v>#REF!</v>
      </c>
      <c r="O77" s="125"/>
      <c r="P77" s="125"/>
    </row>
    <row r="78" spans="1:16" x14ac:dyDescent="0.2">
      <c r="A78" s="125" t="s">
        <v>299</v>
      </c>
      <c r="B78" s="125" t="str">
        <f t="shared" si="9"/>
        <v>17</v>
      </c>
      <c r="C78" s="125" t="e">
        <f>+MID(VLOOKUP(A78,#REF!,2,0),6,LEN(VLOOKUP(A78,#REF!,2,0))-6)</f>
        <v>#REF!</v>
      </c>
      <c r="D78" s="125" t="s">
        <v>288</v>
      </c>
      <c r="E78" s="125" t="e">
        <f>+VLOOKUP(A78,#REF!,3,0)</f>
        <v>#REF!</v>
      </c>
      <c r="F78" s="125" t="e">
        <f>+VLOOKUP(A78,#REF!,10,0)</f>
        <v>#REF!</v>
      </c>
      <c r="G78" s="125" t="e">
        <f>+VLOOKUP(A78,#REF!,13,0)</f>
        <v>#REF!</v>
      </c>
      <c r="H78" s="127" t="e">
        <f t="shared" si="16"/>
        <v>#REF!</v>
      </c>
      <c r="I78" s="125" t="e">
        <f t="shared" si="14"/>
        <v>#REF!</v>
      </c>
      <c r="J78" s="125" t="s">
        <v>295</v>
      </c>
      <c r="K78" s="125" t="e">
        <f>+IF(ISBLANK(VLOOKUP(A78,#REF!,5,0)),"",VLOOKUP(A78,#REF!,5,0))</f>
        <v>#REF!</v>
      </c>
      <c r="L78" s="125" t="e">
        <f>+IF(ISBLANK(VLOOKUP(A78,#REF!,9,0)),"",VLOOKUP(A78,#REF!,9,0))</f>
        <v>#REF!</v>
      </c>
      <c r="M78" s="125" t="e">
        <f t="shared" si="15"/>
        <v>#REF!</v>
      </c>
      <c r="N78" s="125" t="e">
        <f t="shared" si="17"/>
        <v>#REF!</v>
      </c>
      <c r="O78" s="125"/>
      <c r="P78" s="125"/>
    </row>
    <row r="79" spans="1:16" x14ac:dyDescent="0.2">
      <c r="A79" s="125" t="s">
        <v>300</v>
      </c>
      <c r="B79" s="125" t="str">
        <f t="shared" si="9"/>
        <v>17</v>
      </c>
      <c r="C79" s="125" t="e">
        <f>+MID(VLOOKUP(A79,#REF!,2,0),6,LEN(VLOOKUP(A79,#REF!,2,0))-6)</f>
        <v>#REF!</v>
      </c>
      <c r="D79" s="125" t="s">
        <v>288</v>
      </c>
      <c r="E79" s="125" t="e">
        <f>+VLOOKUP(A79,#REF!,3,0)</f>
        <v>#REF!</v>
      </c>
      <c r="F79" s="125" t="e">
        <f>+VLOOKUP(A79,#REF!,10,0)</f>
        <v>#REF!</v>
      </c>
      <c r="G79" s="125" t="e">
        <f>+VLOOKUP(A79,#REF!,13,0)</f>
        <v>#REF!</v>
      </c>
      <c r="H79" s="127" t="e">
        <f t="shared" si="16"/>
        <v>#REF!</v>
      </c>
      <c r="I79" s="125" t="e">
        <f t="shared" si="14"/>
        <v>#REF!</v>
      </c>
      <c r="J79" s="125" t="s">
        <v>295</v>
      </c>
      <c r="K79" s="125" t="e">
        <f>+IF(ISBLANK(VLOOKUP(A79,#REF!,5,0)),"",VLOOKUP(A79,#REF!,5,0))</f>
        <v>#REF!</v>
      </c>
      <c r="L79" s="125" t="e">
        <f>+IF(ISBLANK(VLOOKUP(A79,#REF!,9,0)),"",VLOOKUP(A79,#REF!,9,0))</f>
        <v>#REF!</v>
      </c>
      <c r="M79" s="125" t="e">
        <f t="shared" si="15"/>
        <v>#REF!</v>
      </c>
      <c r="N79" s="125" t="e">
        <f t="shared" si="17"/>
        <v>#REF!</v>
      </c>
      <c r="O79" s="125"/>
      <c r="P79" s="125"/>
    </row>
    <row r="80" spans="1:16" x14ac:dyDescent="0.2">
      <c r="A80" s="125" t="s">
        <v>301</v>
      </c>
      <c r="B80" s="125" t="str">
        <f t="shared" si="9"/>
        <v>17</v>
      </c>
      <c r="C80" s="125" t="e">
        <f>+MID(VLOOKUP(A80,#REF!,2,0),6,LEN(VLOOKUP(A80,#REF!,2,0))-6)</f>
        <v>#REF!</v>
      </c>
      <c r="D80" s="125" t="s">
        <v>288</v>
      </c>
      <c r="E80" s="125" t="e">
        <f>+VLOOKUP(A80,#REF!,3,0)</f>
        <v>#REF!</v>
      </c>
      <c r="F80" s="125" t="e">
        <f>+VLOOKUP(A80,#REF!,10,0)</f>
        <v>#REF!</v>
      </c>
      <c r="G80" s="125" t="e">
        <f>+VLOOKUP(A80,#REF!,13,0)</f>
        <v>#REF!</v>
      </c>
      <c r="H80" s="127" t="e">
        <f t="shared" si="16"/>
        <v>#REF!</v>
      </c>
      <c r="I80" s="125" t="e">
        <f t="shared" si="14"/>
        <v>#REF!</v>
      </c>
      <c r="J80" s="125" t="s">
        <v>295</v>
      </c>
      <c r="K80" s="125" t="e">
        <f>+IF(ISBLANK(VLOOKUP(A80,#REF!,5,0)),"",VLOOKUP(A80,#REF!,5,0))</f>
        <v>#REF!</v>
      </c>
      <c r="L80" s="125" t="e">
        <f>+IF(ISBLANK(VLOOKUP(A80,#REF!,9,0)),"",VLOOKUP(A80,#REF!,9,0))</f>
        <v>#REF!</v>
      </c>
      <c r="M80" s="125" t="e">
        <f t="shared" si="15"/>
        <v>#REF!</v>
      </c>
      <c r="N80" s="125" t="e">
        <f t="shared" si="17"/>
        <v>#REF!</v>
      </c>
      <c r="O80" s="125"/>
      <c r="P80" s="125"/>
    </row>
    <row r="81" spans="1:16" x14ac:dyDescent="0.2">
      <c r="A81" s="125" t="s">
        <v>302</v>
      </c>
      <c r="B81" s="125" t="str">
        <f t="shared" si="9"/>
        <v>17</v>
      </c>
      <c r="C81" s="125" t="e">
        <f>+MID(VLOOKUP(A81,#REF!,2,0),6,LEN(VLOOKUP(A81,#REF!,2,0))-6)</f>
        <v>#REF!</v>
      </c>
      <c r="D81" s="125" t="s">
        <v>288</v>
      </c>
      <c r="E81" s="125" t="e">
        <f>+VLOOKUP(A81,#REF!,3,0)</f>
        <v>#REF!</v>
      </c>
      <c r="F81" s="125" t="e">
        <f>+VLOOKUP(A81,#REF!,10,0)</f>
        <v>#REF!</v>
      </c>
      <c r="G81" s="125" t="e">
        <f>+VLOOKUP(A81,#REF!,13,0)</f>
        <v>#REF!</v>
      </c>
      <c r="H81" s="127" t="e">
        <f t="shared" si="16"/>
        <v>#REF!</v>
      </c>
      <c r="I81" s="125" t="e">
        <f t="shared" si="14"/>
        <v>#REF!</v>
      </c>
      <c r="J81" s="125" t="s">
        <v>295</v>
      </c>
      <c r="K81" s="125" t="e">
        <f>+IF(ISBLANK(VLOOKUP(A81,#REF!,5,0)),"",VLOOKUP(A81,#REF!,5,0))</f>
        <v>#REF!</v>
      </c>
      <c r="L81" s="125" t="e">
        <f>+IF(ISBLANK(VLOOKUP(A81,#REF!,9,0)),"",VLOOKUP(A81,#REF!,9,0))</f>
        <v>#REF!</v>
      </c>
      <c r="M81" s="125" t="e">
        <f t="shared" si="15"/>
        <v>#REF!</v>
      </c>
      <c r="N81" s="125" t="e">
        <f t="shared" si="17"/>
        <v>#REF!</v>
      </c>
      <c r="O81" s="125"/>
      <c r="P81" s="125"/>
    </row>
    <row r="82" spans="1:16" x14ac:dyDescent="0.2">
      <c r="A82" s="125" t="s">
        <v>303</v>
      </c>
      <c r="B82" s="125" t="str">
        <f t="shared" si="9"/>
        <v>17</v>
      </c>
      <c r="C82" s="125" t="e">
        <f>+MID(VLOOKUP(A82,#REF!,2,0),6,LEN(VLOOKUP(A82,#REF!,2,0))-6)</f>
        <v>#REF!</v>
      </c>
      <c r="D82" s="125" t="s">
        <v>288</v>
      </c>
      <c r="E82" s="125" t="e">
        <f>+VLOOKUP(A82,#REF!,3,0)</f>
        <v>#REF!</v>
      </c>
      <c r="F82" s="125" t="e">
        <f>+VLOOKUP(A82,#REF!,10,0)</f>
        <v>#REF!</v>
      </c>
      <c r="G82" s="125" t="e">
        <f>+VLOOKUP(A82,#REF!,13,0)</f>
        <v>#REF!</v>
      </c>
      <c r="H82" s="127" t="e">
        <f t="shared" si="16"/>
        <v>#REF!</v>
      </c>
      <c r="I82" s="125" t="e">
        <f t="shared" si="14"/>
        <v>#REF!</v>
      </c>
      <c r="J82" s="125" t="s">
        <v>295</v>
      </c>
      <c r="K82" s="125" t="e">
        <f>+IF(ISBLANK(VLOOKUP(A82,#REF!,5,0)),"",VLOOKUP(A82,#REF!,5,0))</f>
        <v>#REF!</v>
      </c>
      <c r="L82" s="125" t="e">
        <f>+IF(ISBLANK(VLOOKUP(A82,#REF!,9,0)),"",VLOOKUP(A82,#REF!,9,0))</f>
        <v>#REF!</v>
      </c>
      <c r="M82" s="125" t="e">
        <f t="shared" si="15"/>
        <v>#REF!</v>
      </c>
      <c r="N82" s="125" t="e">
        <f t="shared" si="17"/>
        <v>#REF!</v>
      </c>
      <c r="O82" s="125"/>
      <c r="P82" s="125"/>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Instructivo</vt:lpstr>
      <vt:lpstr>Definiciones</vt:lpstr>
      <vt:lpstr>Ambiente de Control</vt:lpstr>
      <vt:lpstr>Conclusiones</vt:lpstr>
      <vt:lpstr>Hoja1</vt:lpstr>
    </vt:vector>
  </TitlesOfParts>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EQUIPO01</cp:lastModifiedBy>
  <cp:revision/>
  <dcterms:created xsi:type="dcterms:W3CDTF">2010-10-04T16:34:45Z</dcterms:created>
  <dcterms:modified xsi:type="dcterms:W3CDTF">2022-07-15T22:16:58Z</dcterms:modified>
</cp:coreProperties>
</file>